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4120" windowHeight="13620" activeTab="4"/>
  </bookViews>
  <sheets>
    <sheet name="Παλαιές ασφ.εισφ ΟΑΕΕ" sheetId="23" r:id="rId1"/>
    <sheet name="Νεες κλιμακες φόρου" sheetId="3" r:id="rId2"/>
    <sheet name="Εισφορ.Αλληλεγγύης" sheetId="5" r:id="rId3"/>
    <sheet name="4172_el" sheetId="10" r:id="rId4"/>
    <sheet name="Υπολογισμοί" sheetId="20" r:id="rId5"/>
    <sheet name="Macro1" sheetId="11" state="hidden" r:id="rId6"/>
  </sheets>
  <definedNames>
    <definedName name="FiscalYearStartDate">#REF!</definedName>
    <definedName name="_xlnm.Print_Area" localSheetId="4">Υπολογισμοί!$A$1:$W$38</definedName>
  </definedNames>
  <calcPr calcId="145621"/>
  <fileRecoveryPr autoRecover="0"/>
</workbook>
</file>

<file path=xl/calcChain.xml><?xml version="1.0" encoding="utf-8"?>
<calcChain xmlns="http://schemas.openxmlformats.org/spreadsheetml/2006/main">
  <c r="F16" i="20" l="1"/>
  <c r="F13" i="20"/>
  <c r="F14" i="20"/>
  <c r="F17" i="20" l="1"/>
  <c r="G16" i="20"/>
  <c r="I16" i="20" l="1"/>
  <c r="H16" i="20" l="1"/>
  <c r="M16" i="20" s="1"/>
  <c r="K16" i="20"/>
  <c r="L16" i="20"/>
  <c r="J16" i="20"/>
  <c r="O25" i="20"/>
  <c r="F19" i="23" l="1"/>
  <c r="F18" i="23"/>
  <c r="F17" i="23"/>
  <c r="F16" i="23"/>
  <c r="F15" i="23"/>
  <c r="F14" i="23"/>
  <c r="F13" i="23"/>
  <c r="F12" i="23"/>
  <c r="G39" i="23"/>
  <c r="G34" i="23"/>
  <c r="G35" i="23"/>
  <c r="G36" i="23"/>
  <c r="G37" i="23"/>
  <c r="G33" i="23"/>
  <c r="F25" i="20" l="1"/>
  <c r="G13" i="20"/>
  <c r="G25" i="20" s="1"/>
  <c r="G14" i="20"/>
  <c r="L13" i="20" l="1"/>
  <c r="L25" i="20" s="1"/>
  <c r="G17" i="20"/>
  <c r="G18" i="20" s="1"/>
  <c r="G38" i="23"/>
  <c r="G32" i="23"/>
  <c r="G31" i="23"/>
  <c r="G30" i="23"/>
  <c r="G29" i="23"/>
  <c r="G28" i="23"/>
  <c r="G27" i="23"/>
  <c r="G26" i="23"/>
  <c r="H26" i="23" s="1"/>
  <c r="F11" i="23"/>
  <c r="F10" i="23"/>
  <c r="F9" i="23"/>
  <c r="F8" i="23"/>
  <c r="F7" i="23"/>
  <c r="F6" i="23"/>
  <c r="F18" i="20"/>
  <c r="K13" i="20"/>
  <c r="K25" i="20" s="1"/>
  <c r="J13" i="20"/>
  <c r="J25" i="20" s="1"/>
  <c r="I13" i="20"/>
  <c r="I25" i="20" s="1"/>
  <c r="H13" i="20"/>
  <c r="H25" i="20" s="1"/>
  <c r="E30" i="3"/>
  <c r="G30" i="3" s="1"/>
  <c r="G31" i="3" s="1"/>
  <c r="E33" i="3"/>
  <c r="E34" i="3"/>
  <c r="F29" i="3"/>
  <c r="F30" i="3" s="1"/>
  <c r="F31" i="3" s="1"/>
  <c r="F32" i="3" s="1"/>
  <c r="F33" i="3" s="1"/>
  <c r="F34" i="3" s="1"/>
  <c r="E32" i="3"/>
  <c r="E31" i="3"/>
  <c r="E29" i="3"/>
  <c r="G29" i="3"/>
  <c r="F19" i="3"/>
  <c r="F18" i="3"/>
  <c r="E18" i="3"/>
  <c r="E19" i="3"/>
  <c r="E17" i="3"/>
  <c r="G17" i="3" s="1"/>
  <c r="H15" i="20" l="1"/>
  <c r="G32" i="3"/>
  <c r="F19" i="20"/>
  <c r="K8" i="20" s="1"/>
  <c r="G18" i="3"/>
  <c r="G19" i="3" s="1"/>
  <c r="G33" i="3"/>
  <c r="G34" i="3" s="1"/>
  <c r="M13" i="20"/>
  <c r="M25" i="20" s="1"/>
  <c r="F20" i="20"/>
  <c r="F22" i="20" s="1"/>
  <c r="F23" i="20" s="1"/>
  <c r="G12" i="10"/>
  <c r="E15" i="5" s="1"/>
  <c r="F26" i="20" l="1"/>
  <c r="F27" i="20" s="1"/>
  <c r="F28" i="20" s="1"/>
  <c r="H17" i="20"/>
  <c r="H18" i="20" s="1"/>
  <c r="F30" i="20" l="1"/>
  <c r="G13" i="10"/>
  <c r="E16" i="5" s="1"/>
  <c r="I15" i="20"/>
  <c r="I17" i="20" s="1"/>
  <c r="I18" i="20" s="1"/>
  <c r="K12" i="10"/>
  <c r="H12" i="10"/>
  <c r="I12" i="10" s="1"/>
  <c r="J12" i="10"/>
  <c r="F34" i="20" l="1"/>
  <c r="F33" i="20"/>
  <c r="F32" i="20"/>
  <c r="F35" i="20"/>
  <c r="G14" i="10"/>
  <c r="E17" i="5" s="1"/>
  <c r="J15" i="20"/>
  <c r="L12" i="10"/>
  <c r="N15" i="5"/>
  <c r="G15" i="5"/>
  <c r="K13" i="10" l="1"/>
  <c r="H13" i="10"/>
  <c r="I13" i="10" s="1"/>
  <c r="J13" i="10"/>
  <c r="O12" i="10"/>
  <c r="Q12" i="10" s="1"/>
  <c r="G19" i="20" s="1"/>
  <c r="J15" i="5"/>
  <c r="H15" i="5"/>
  <c r="I15" i="5" s="1"/>
  <c r="K15" i="5"/>
  <c r="J17" i="20"/>
  <c r="J18" i="20" s="1"/>
  <c r="G26" i="20" l="1"/>
  <c r="G27" i="20" s="1"/>
  <c r="G15" i="10"/>
  <c r="E18" i="5" s="1"/>
  <c r="K15" i="20"/>
  <c r="L13" i="10"/>
  <c r="O13" i="10" s="1"/>
  <c r="Q13" i="10" s="1"/>
  <c r="H19" i="20" s="1"/>
  <c r="L15" i="5"/>
  <c r="N16" i="5"/>
  <c r="G16" i="5"/>
  <c r="H26" i="20" l="1"/>
  <c r="H27" i="20" s="1"/>
  <c r="O15" i="5"/>
  <c r="G20" i="20" s="1"/>
  <c r="K17" i="20"/>
  <c r="K18" i="20" s="1"/>
  <c r="J14" i="10"/>
  <c r="K14" i="10"/>
  <c r="H14" i="10"/>
  <c r="I14" i="10" s="1"/>
  <c r="K16" i="5"/>
  <c r="H16" i="5"/>
  <c r="I16" i="5" s="1"/>
  <c r="J16" i="5"/>
  <c r="G28" i="20" l="1"/>
  <c r="G30" i="20" s="1"/>
  <c r="G22" i="20"/>
  <c r="G23" i="20" s="1"/>
  <c r="L15" i="20"/>
  <c r="L17" i="20" s="1"/>
  <c r="L18" i="20" s="1"/>
  <c r="G16" i="10"/>
  <c r="E19" i="5" s="1"/>
  <c r="L14" i="10"/>
  <c r="R12" i="10"/>
  <c r="L16" i="5"/>
  <c r="N17" i="5"/>
  <c r="G17" i="5"/>
  <c r="G37" i="20" l="1"/>
  <c r="P25" i="20" s="1"/>
  <c r="G35" i="20"/>
  <c r="G34" i="20"/>
  <c r="M15" i="20"/>
  <c r="M17" i="20" s="1"/>
  <c r="M18" i="20" s="1"/>
  <c r="G17" i="10"/>
  <c r="J17" i="10" s="1"/>
  <c r="K16" i="10"/>
  <c r="H16" i="10"/>
  <c r="I16" i="10" s="1"/>
  <c r="J16" i="10"/>
  <c r="G32" i="20"/>
  <c r="G33" i="20"/>
  <c r="G19" i="5"/>
  <c r="N19" i="5"/>
  <c r="O14" i="10"/>
  <c r="Q14" i="10" s="1"/>
  <c r="I19" i="20" s="1"/>
  <c r="S12" i="10"/>
  <c r="K17" i="5"/>
  <c r="H17" i="5"/>
  <c r="I17" i="5" s="1"/>
  <c r="J17" i="5"/>
  <c r="J15" i="10"/>
  <c r="K15" i="10"/>
  <c r="H15" i="10"/>
  <c r="I15" i="10" s="1"/>
  <c r="O16" i="5"/>
  <c r="H20" i="20" s="1"/>
  <c r="H28" i="20" l="1"/>
  <c r="H30" i="20" s="1"/>
  <c r="H22" i="20"/>
  <c r="H23" i="20" s="1"/>
  <c r="G18" i="10"/>
  <c r="H18" i="10" s="1"/>
  <c r="I18" i="10" s="1"/>
  <c r="E20" i="5"/>
  <c r="N20" i="5" s="1"/>
  <c r="K17" i="10"/>
  <c r="H17" i="10"/>
  <c r="I17" i="10" s="1"/>
  <c r="I26" i="20"/>
  <c r="I27" i="20" s="1"/>
  <c r="L16" i="10"/>
  <c r="O16" i="10" s="1"/>
  <c r="Q16" i="10" s="1"/>
  <c r="K19" i="20" s="1"/>
  <c r="K19" i="5"/>
  <c r="J19" i="5"/>
  <c r="H19" i="5"/>
  <c r="I19" i="5" s="1"/>
  <c r="L15" i="10"/>
  <c r="O15" i="10" s="1"/>
  <c r="Q15" i="10" s="1"/>
  <c r="J19" i="20" s="1"/>
  <c r="N18" i="5"/>
  <c r="G18" i="5"/>
  <c r="R13" i="10"/>
  <c r="L17" i="5"/>
  <c r="E21" i="5" l="1"/>
  <c r="G21" i="5" s="1"/>
  <c r="J18" i="10"/>
  <c r="H37" i="20"/>
  <c r="Q25" i="20" s="1"/>
  <c r="K18" i="10"/>
  <c r="H34" i="20"/>
  <c r="H35" i="20"/>
  <c r="G20" i="5"/>
  <c r="H20" i="5" s="1"/>
  <c r="I20" i="5" s="1"/>
  <c r="L17" i="10"/>
  <c r="O17" i="10" s="1"/>
  <c r="Q17" i="10" s="1"/>
  <c r="L19" i="20" s="1"/>
  <c r="J26" i="20"/>
  <c r="J27" i="20" s="1"/>
  <c r="K26" i="20"/>
  <c r="K27" i="20" s="1"/>
  <c r="H32" i="20"/>
  <c r="H33" i="20"/>
  <c r="L19" i="5"/>
  <c r="O19" i="5" s="1"/>
  <c r="R16" i="10" s="1"/>
  <c r="S16" i="10" s="1"/>
  <c r="O17" i="5"/>
  <c r="I20" i="20" s="1"/>
  <c r="S13" i="10"/>
  <c r="H18" i="5"/>
  <c r="I18" i="5" s="1"/>
  <c r="J18" i="5"/>
  <c r="K18" i="5"/>
  <c r="I28" i="20" l="1"/>
  <c r="I30" i="20" s="1"/>
  <c r="I22" i="20"/>
  <c r="I23" i="20" s="1"/>
  <c r="N21" i="5"/>
  <c r="L18" i="10"/>
  <c r="O18" i="10" s="1"/>
  <c r="Q18" i="10" s="1"/>
  <c r="M19" i="20" s="1"/>
  <c r="M26" i="20" s="1"/>
  <c r="M27" i="20" s="1"/>
  <c r="K20" i="5"/>
  <c r="J20" i="5"/>
  <c r="L26" i="20"/>
  <c r="L27" i="20" s="1"/>
  <c r="J21" i="5"/>
  <c r="K21" i="5"/>
  <c r="H21" i="5"/>
  <c r="I21" i="5" s="1"/>
  <c r="K20" i="20"/>
  <c r="L18" i="5"/>
  <c r="R14" i="10"/>
  <c r="K28" i="20" l="1"/>
  <c r="K30" i="20" s="1"/>
  <c r="K22" i="20"/>
  <c r="K23" i="20" s="1"/>
  <c r="I37" i="20"/>
  <c r="R25" i="20" s="1"/>
  <c r="I34" i="20"/>
  <c r="I35" i="20"/>
  <c r="L20" i="5"/>
  <c r="O20" i="5" s="1"/>
  <c r="R17" i="10" s="1"/>
  <c r="S17" i="10" s="1"/>
  <c r="L21" i="5"/>
  <c r="O21" i="5" s="1"/>
  <c r="R18" i="10" s="1"/>
  <c r="S18" i="10" s="1"/>
  <c r="I32" i="20"/>
  <c r="I33" i="20"/>
  <c r="S14" i="10"/>
  <c r="O18" i="5"/>
  <c r="J20" i="20" s="1"/>
  <c r="J28" i="20" l="1"/>
  <c r="J30" i="20" s="1"/>
  <c r="J22" i="20"/>
  <c r="J23" i="20" s="1"/>
  <c r="K34" i="20"/>
  <c r="K37" i="20"/>
  <c r="T25" i="20" s="1"/>
  <c r="K35" i="20"/>
  <c r="L20" i="20"/>
  <c r="M20" i="20"/>
  <c r="K32" i="20"/>
  <c r="K33" i="20"/>
  <c r="R15" i="10"/>
  <c r="M28" i="20" l="1"/>
  <c r="M30" i="20" s="1"/>
  <c r="M22" i="20"/>
  <c r="M23" i="20" s="1"/>
  <c r="L28" i="20"/>
  <c r="L30" i="20" s="1"/>
  <c r="L22" i="20"/>
  <c r="L23" i="20" s="1"/>
  <c r="J35" i="20"/>
  <c r="J34" i="20"/>
  <c r="J37" i="20"/>
  <c r="S25" i="20" s="1"/>
  <c r="J32" i="20"/>
  <c r="J33" i="20"/>
  <c r="S15" i="10"/>
  <c r="M34" i="20" l="1"/>
  <c r="M32" i="20"/>
  <c r="M33" i="20"/>
  <c r="M35" i="20"/>
  <c r="M37" i="20"/>
  <c r="L34" i="20"/>
  <c r="L32" i="20"/>
  <c r="L33" i="20"/>
  <c r="L35" i="20"/>
  <c r="L37" i="20"/>
  <c r="U25" i="20" s="1"/>
  <c r="V25" i="20" l="1"/>
  <c r="Q26" i="20" s="1"/>
  <c r="R27" i="20" l="1"/>
  <c r="U30" i="20"/>
  <c r="S28" i="20"/>
  <c r="T29" i="20"/>
</calcChain>
</file>

<file path=xl/comments1.xml><?xml version="1.0" encoding="utf-8"?>
<comments xmlns="http://schemas.openxmlformats.org/spreadsheetml/2006/main">
  <authors>
    <author>GUS</author>
    <author>Kostas Gravias</author>
  </authors>
  <commentList>
    <comment ref="K3" authorId="0">
      <text>
        <r>
          <rPr>
            <b/>
            <sz val="9"/>
            <color indexed="81"/>
            <rFont val="Tahoma"/>
            <charset val="1"/>
          </rPr>
          <t>Επιλέξτε το ποσοστό επί του τζίρου σας στο οποίο σας γίνεται παρακράτηση φόρου 20%</t>
        </r>
      </text>
    </comment>
    <comment ref="E8" authorId="1">
      <text>
        <r>
          <rPr>
            <b/>
            <sz val="9"/>
            <color indexed="81"/>
            <rFont val="Tahoma"/>
            <family val="2"/>
            <charset val="161"/>
          </rPr>
          <t xml:space="preserve">TAXHEAVEN: 
</t>
        </r>
        <r>
          <rPr>
            <sz val="9"/>
            <color indexed="81"/>
            <rFont val="Tahoma"/>
            <family val="2"/>
            <charset val="161"/>
          </rPr>
          <t>Αυτόματος υπολογισμός</t>
        </r>
        <r>
          <rPr>
            <b/>
            <sz val="9"/>
            <color indexed="81"/>
            <rFont val="Tahoma"/>
            <family val="2"/>
            <charset val="161"/>
          </rPr>
          <t xml:space="preserve">. </t>
        </r>
        <r>
          <rPr>
            <sz val="9"/>
            <color indexed="81"/>
            <rFont val="Tahoma"/>
            <family val="2"/>
            <charset val="161"/>
          </rPr>
          <t>Έχει ληφθεί η παραδοχή ότι και στο φορ. έτος 2014 υπήρχε ο ίδιος τζίρος, τα ίδια καθαρά κέρδη και οι ίδιες παρακρατήσεις με αυτά που συμπληρώθηκαν ανωτέρω στα κίτρινα κελιά</t>
        </r>
      </text>
    </comment>
    <comment ref="E14" authorId="1">
      <text>
        <r>
          <rPr>
            <b/>
            <sz val="9"/>
            <color indexed="81"/>
            <rFont val="Tahoma"/>
            <family val="2"/>
            <charset val="161"/>
          </rPr>
          <t>TAXHEAVEN</t>
        </r>
        <r>
          <rPr>
            <sz val="9"/>
            <color indexed="81"/>
            <rFont val="Tahoma"/>
            <family val="2"/>
            <charset val="161"/>
          </rPr>
          <t>: Οι εισφορές έρχονται αυτόματα από το κελί "Παλαιές ασφαλιστικές εισφορές". Για τα έτη 2015 και 2016 μπαίνουν αυτόματα οι παλαιές εισφορές</t>
        </r>
      </text>
    </comment>
    <comment ref="E15" authorId="1">
      <text>
        <r>
          <rPr>
            <b/>
            <sz val="9"/>
            <color indexed="81"/>
            <rFont val="Tahoma"/>
            <family val="2"/>
            <charset val="161"/>
          </rPr>
          <t xml:space="preserve">TAXHEAVEN: </t>
        </r>
        <r>
          <rPr>
            <sz val="9"/>
            <color indexed="81"/>
            <rFont val="Tahoma"/>
            <family val="2"/>
            <charset val="161"/>
          </rPr>
          <t>Οι εισφορές έρχονται αυτόματα από το κελί "Νέες ασφαλιστικές εισφορές Ε.Φ.Κ.Α.". Για τα έτη 2017 και επόμενα αναγράφονται αυτόματα βάσει του γινομένου του καθαρού φορολογητέου εισοδήματος του αμέσως προηγούμενου έτους επί του ποσοστού 26,95%. Προσοχή: Υπάρχει όμως το ελάχιστο και το μέγιστο όριο (βλ. min &amp; max).</t>
        </r>
      </text>
    </comment>
    <comment ref="E16" authorId="1">
      <text>
        <r>
          <rPr>
            <b/>
            <sz val="9"/>
            <color indexed="81"/>
            <rFont val="Tahoma"/>
            <family val="2"/>
            <charset val="161"/>
          </rPr>
          <t xml:space="preserve">TAXHEAVEN: </t>
        </r>
        <r>
          <rPr>
            <sz val="9"/>
            <color indexed="81"/>
            <rFont val="Tahoma"/>
            <family val="2"/>
            <charset val="161"/>
          </rPr>
          <t xml:space="preserve">Οι λοιπές δαπάνες έρχονται αυτόματα από το κελί "Λοιπές δαπάνες που έχουν καταχωρηθεί στα βιβλία (που αναγνωρίζονται)".
</t>
        </r>
      </text>
    </comment>
    <comment ref="E17" authorId="1">
      <text>
        <r>
          <rPr>
            <b/>
            <sz val="9"/>
            <color indexed="81"/>
            <rFont val="Tahoma"/>
            <family val="2"/>
            <charset val="161"/>
          </rPr>
          <t xml:space="preserve">TAXHEAVEN: </t>
        </r>
        <r>
          <rPr>
            <sz val="9"/>
            <color indexed="81"/>
            <rFont val="Tahoma"/>
            <family val="2"/>
            <charset val="161"/>
          </rPr>
          <t xml:space="preserve">
Αυτόματη άθροιση του (3+4)
</t>
        </r>
      </text>
    </comment>
    <comment ref="E18" authorId="1">
      <text>
        <r>
          <rPr>
            <b/>
            <sz val="9"/>
            <color indexed="81"/>
            <rFont val="Tahoma"/>
            <family val="2"/>
            <charset val="161"/>
          </rPr>
          <t xml:space="preserve">TAXHEAVEN: </t>
        </r>
        <r>
          <rPr>
            <sz val="9"/>
            <color indexed="81"/>
            <rFont val="Tahoma"/>
            <family val="2"/>
            <charset val="161"/>
          </rPr>
          <t xml:space="preserve">Αυτόματη αφαίρεση του 1 μείον 5 
</t>
        </r>
      </text>
    </comment>
    <comment ref="E19" authorId="1">
      <text>
        <r>
          <rPr>
            <b/>
            <sz val="9"/>
            <color indexed="81"/>
            <rFont val="Tahoma"/>
            <family val="2"/>
            <charset val="161"/>
          </rPr>
          <t xml:space="preserve">TAXHEAVEN: </t>
        </r>
        <r>
          <rPr>
            <sz val="9"/>
            <color indexed="81"/>
            <rFont val="Tahoma"/>
            <family val="2"/>
            <charset val="161"/>
          </rPr>
          <t xml:space="preserve">Αυτόματος υπολογισμός του φόρου εισοδήματος
</t>
        </r>
      </text>
    </comment>
    <comment ref="E20" authorId="1">
      <text>
        <r>
          <rPr>
            <b/>
            <sz val="9"/>
            <color indexed="81"/>
            <rFont val="Tahoma"/>
            <family val="2"/>
            <charset val="161"/>
          </rPr>
          <t xml:space="preserve">TAXHEAVEN: </t>
        </r>
        <r>
          <rPr>
            <sz val="9"/>
            <color indexed="81"/>
            <rFont val="Tahoma"/>
            <family val="2"/>
            <charset val="161"/>
          </rPr>
          <t xml:space="preserve">Αυτόματος υπολογισμός της εισφοράς αλληλεγγύης
</t>
        </r>
      </text>
    </comment>
    <comment ref="E21" authorId="1">
      <text>
        <r>
          <rPr>
            <b/>
            <sz val="9"/>
            <color indexed="81"/>
            <rFont val="Tahoma"/>
            <family val="2"/>
            <charset val="161"/>
          </rPr>
          <t xml:space="preserve">TAXHEAVEN: </t>
        </r>
        <r>
          <rPr>
            <sz val="9"/>
            <color indexed="81"/>
            <rFont val="Tahoma"/>
            <family val="2"/>
            <charset val="161"/>
          </rPr>
          <t xml:space="preserve">Αυτόματη αναγραφή του τέλους επιτηδεύματος
</t>
        </r>
      </text>
    </comment>
    <comment ref="E23" authorId="1">
      <text>
        <r>
          <rPr>
            <b/>
            <sz val="9"/>
            <color indexed="81"/>
            <rFont val="Tahoma"/>
            <family val="2"/>
            <charset val="161"/>
          </rPr>
          <t xml:space="preserve">TAXHEAVEN: </t>
        </r>
        <r>
          <rPr>
            <sz val="9"/>
            <color indexed="81"/>
            <rFont val="Tahoma"/>
            <family val="2"/>
            <charset val="161"/>
          </rPr>
          <t xml:space="preserve">Αυτόματος υπολογισμός: Το υπόλοιπο της αφαίρεσης του 6 μείον το (7+8+9).
 </t>
        </r>
      </text>
    </comment>
    <comment ref="E25" authorId="1">
      <text>
        <r>
          <rPr>
            <b/>
            <sz val="9"/>
            <color indexed="81"/>
            <rFont val="Tahoma"/>
            <family val="2"/>
            <charset val="161"/>
          </rPr>
          <t xml:space="preserve">TAXHEAVEN: </t>
        </r>
        <r>
          <rPr>
            <sz val="9"/>
            <color indexed="81"/>
            <rFont val="Tahoma"/>
            <family val="2"/>
            <charset val="161"/>
          </rPr>
          <t xml:space="preserve">Αυτόματος μεταφορά από το κελί "Ποσοστό παρακρατήσεων στο έτος (επί του εισοδήματος)
</t>
        </r>
      </text>
    </comment>
    <comment ref="E26" authorId="1">
      <text>
        <r>
          <rPr>
            <b/>
            <sz val="9"/>
            <color indexed="81"/>
            <rFont val="Tahoma"/>
            <family val="2"/>
            <charset val="161"/>
          </rPr>
          <t xml:space="preserve">TAXHEAVEN: </t>
        </r>
        <r>
          <rPr>
            <sz val="9"/>
            <color indexed="81"/>
            <rFont val="Tahoma"/>
            <family val="2"/>
            <charset val="161"/>
          </rPr>
          <t xml:space="preserve">Αυτόματος υπολογισμός προκαταβολής (με ποσοστό 75% για το 2015 και 100% για τα υπόλοιπα έτη)
</t>
        </r>
      </text>
    </comment>
    <comment ref="E27" authorId="1">
      <text>
        <r>
          <rPr>
            <b/>
            <sz val="9"/>
            <color indexed="81"/>
            <rFont val="Tahoma"/>
            <family val="2"/>
            <charset val="161"/>
          </rPr>
          <t xml:space="preserve">TAXHEAVEN: </t>
        </r>
        <r>
          <rPr>
            <sz val="9"/>
            <color indexed="81"/>
            <rFont val="Tahoma"/>
            <charset val="1"/>
          </rPr>
          <t xml:space="preserve">Αυτόματος υπολογισμός (12 μείον 11)
</t>
        </r>
      </text>
    </comment>
    <comment ref="E28" authorId="1">
      <text>
        <r>
          <rPr>
            <b/>
            <sz val="9"/>
            <color indexed="81"/>
            <rFont val="Tahoma"/>
            <family val="2"/>
            <charset val="161"/>
          </rPr>
          <t xml:space="preserve">TAXHEAVEN: </t>
        </r>
        <r>
          <rPr>
            <sz val="9"/>
            <color indexed="81"/>
            <rFont val="Tahoma"/>
            <family val="2"/>
            <charset val="161"/>
          </rPr>
          <t xml:space="preserve">Αυτόματος υπολογισμός: Το υπόλοιπο της αφαίρεσης του (7+8+9) μείον το 13 μείον το ποσό της πρακαταβολής του έτους 2014 (όπως έχει εισαχθεί στο σχετικό κελί)
</t>
        </r>
      </text>
    </comment>
    <comment ref="E30" authorId="1">
      <text>
        <r>
          <rPr>
            <b/>
            <sz val="9"/>
            <color indexed="81"/>
            <rFont val="Tahoma"/>
            <family val="2"/>
            <charset val="161"/>
          </rPr>
          <t xml:space="preserve">TAXHEAVEN: </t>
        </r>
        <r>
          <rPr>
            <sz val="9"/>
            <color indexed="81"/>
            <rFont val="Tahoma"/>
            <family val="2"/>
            <charset val="161"/>
          </rPr>
          <t xml:space="preserve">Το υπόλοιπο της αφαίρεσης του 6 μείον το 11 μείον το 14
</t>
        </r>
      </text>
    </comment>
  </commentList>
</comments>
</file>

<file path=xl/sharedStrings.xml><?xml version="1.0" encoding="utf-8"?>
<sst xmlns="http://schemas.openxmlformats.org/spreadsheetml/2006/main" count="137" uniqueCount="98">
  <si>
    <t>Τέλος επιτηδεύματος</t>
  </si>
  <si>
    <t xml:space="preserve">ΚΛΙΜΑΚΑ  ΥΠΟΛΟΓΙΣΜΟΥ ΦΟΡΟΥ ΕΙΣΟΔΗΜΑΤΟΣ  </t>
  </si>
  <si>
    <t>ΣΥΝΟΛΟ ΕΙΣΟΔΗΜΑΤΟΣ</t>
  </si>
  <si>
    <t>ΦΟΡ.ΣΥΝΤ</t>
  </si>
  <si>
    <t>ΕΤΗΣΙΟ ΕΙΣΟΔΗΜΑ</t>
  </si>
  <si>
    <t>Εισόδημα Ετήσιο</t>
  </si>
  <si>
    <t>Φόρος</t>
  </si>
  <si>
    <t>Κλιµάκιο εισοδήµατος (ευρώ)</t>
  </si>
  <si>
    <t>Φορολογικός συντελεστής %</t>
  </si>
  <si>
    <t>Φόρος κλιµακίου (ευρώ)</t>
  </si>
  <si>
    <t>Σύνολο</t>
  </si>
  <si>
    <t>Εισοδήµατος</t>
  </si>
  <si>
    <t>Φόρου</t>
  </si>
  <si>
    <t>(ευρώ)</t>
  </si>
  <si>
    <t>Υπερβάλλον</t>
  </si>
  <si>
    <t>Υπερβάλων</t>
  </si>
  <si>
    <t>Εισφορά αλληλεγγύης</t>
  </si>
  <si>
    <t>Οικονομικά στοιχεία</t>
  </si>
  <si>
    <t>Λοιπές δαπάνες</t>
  </si>
  <si>
    <t>Σύνολο δαπανών</t>
  </si>
  <si>
    <t xml:space="preserve">        </t>
  </si>
  <si>
    <t> 01/01/2010 - ΣΗΜΕΡΑ</t>
  </si>
  <si>
    <t>   152,41+58,30=210,71</t>
  </si>
  <si>
    <t>   186,14+71,20=257,34</t>
  </si>
  <si>
    <t>   222,20+84,99=307,19</t>
  </si>
  <si>
    <t>   242,58+92,79=335,37</t>
  </si>
  <si>
    <t> 279,81+107,03=386,84</t>
  </si>
  <si>
    <t> 315,59+120,71=436,30</t>
  </si>
  <si>
    <t> 337,46+129,08=466,54</t>
  </si>
  <si>
    <t> 364,90+139,57=504,47</t>
  </si>
  <si>
    <t> 389,55+149,00=538,55</t>
  </si>
  <si>
    <t> 414,22+158,44=572,66</t>
  </si>
  <si>
    <t> 438,87+167,87=606,74</t>
  </si>
  <si>
    <t> 463,52+177,30=640,82</t>
  </si>
  <si>
    <t> 488,19+186,73=674,92</t>
  </si>
  <si>
    <t> 512,85+196,16=709,01</t>
  </si>
  <si>
    <t>ΕΝΕΡΓΟΙ ΚΑΙ ΠΡΟΑΙΡΕΤΙΚΑ ΑΣΦΑΛΙΣΜΕΝΟΙ</t>
  </si>
  <si>
    <t>ΑΠΟ 01/01/2011</t>
  </si>
  <si>
    <t>Π01</t>
  </si>
  <si>
    <t>152,41</t>
  </si>
  <si>
    <t>92,79</t>
  </si>
  <si>
    <t>Π02</t>
  </si>
  <si>
    <t>186,14</t>
  </si>
  <si>
    <t>Π03</t>
  </si>
  <si>
    <t>222,20</t>
  </si>
  <si>
    <t>Π04</t>
  </si>
  <si>
    <t>242,58</t>
  </si>
  <si>
    <t>Π05</t>
  </si>
  <si>
    <t>279,81</t>
  </si>
  <si>
    <t>Π06</t>
  </si>
  <si>
    <t>315,59</t>
  </si>
  <si>
    <t>Π07</t>
  </si>
  <si>
    <t>337,46</t>
  </si>
  <si>
    <t>Π08</t>
  </si>
  <si>
    <t>364,90</t>
  </si>
  <si>
    <t>Π09</t>
  </si>
  <si>
    <t>389,55</t>
  </si>
  <si>
    <t>Π10</t>
  </si>
  <si>
    <t>414,22</t>
  </si>
  <si>
    <t>Π11</t>
  </si>
  <si>
    <t>438,87</t>
  </si>
  <si>
    <t>Π12</t>
  </si>
  <si>
    <t>463,52</t>
  </si>
  <si>
    <t>Π13</t>
  </si>
  <si>
    <t>488,19</t>
  </si>
  <si>
    <t>Π14</t>
  </si>
  <si>
    <t>512,85</t>
  </si>
  <si>
    <t>30 Υπέρ ΟΑΕΔ - ΟΕΕ</t>
  </si>
  <si>
    <t>Παλαιές ασφαλιστικές εισφορές</t>
  </si>
  <si>
    <t>180 σε όλο το έτος</t>
  </si>
  <si>
    <t>Εισφορά</t>
  </si>
  <si>
    <t>Προκαταβολή φόρου</t>
  </si>
  <si>
    <t>Τελικό λογιστικό ποσό</t>
  </si>
  <si>
    <t>Φορολογητέο εισόδημα</t>
  </si>
  <si>
    <t>14</t>
  </si>
  <si>
    <t>Φόρος εισοδήματος</t>
  </si>
  <si>
    <t>Καταβλητέο ποσό με τη δήλωση εισοδήματος</t>
  </si>
  <si>
    <t xml:space="preserve">Παρακρατήσεις φόρου εντός του έτους </t>
  </si>
  <si>
    <t>Ακαθάριστο εισόδημα (τζίρος)</t>
  </si>
  <si>
    <t>Λοιπές δαπάνες που έχουν καταχωρηθεί στα βιβλία (που αναγνωρίζονται)</t>
  </si>
  <si>
    <t>Προκαταβολή φόρου φορ. έτους 2014</t>
  </si>
  <si>
    <t>Ε.Φ.Κ.Α.(min)</t>
  </si>
  <si>
    <t>Ε.Φ.Κ.Α. (max)</t>
  </si>
  <si>
    <t>Ακαθάριστα έσοδα προ εισφορών (τζίρος)</t>
  </si>
  <si>
    <t>Ασφ. εισφ. Ο.Α.Ε.Ε. (παλαιό καθεστώς)</t>
  </si>
  <si>
    <t xml:space="preserve">Ποσοστό που απομένει στο εισόδημα (τζίρο) προ εισφορών και δαπανών </t>
  </si>
  <si>
    <t>Ποσό που απομένει στον φορολογούμενο</t>
  </si>
  <si>
    <t>Ποσοστό των καθαρών κερδών που απομένει στον φορολογούμενο</t>
  </si>
  <si>
    <t>Ταμειακή επιβάρυνση ή ελάφρυνση σε σχέση με το 2015</t>
  </si>
  <si>
    <t>Ασφ. εισφ. Ε.Φ.Κ.Α. (νέο καθεστώς)</t>
  </si>
  <si>
    <t>Νέες εισφορές  Ε.Φ.Κ.Α. (σύνταξη &amp; υγ. περίθαλψη)</t>
  </si>
  <si>
    <t>Τελική προκαταβολή (μείον παρακρατήσεις)</t>
  </si>
  <si>
    <t>Ποσοστό (%) παρακρατήσεων στο έτος (επί του εισοδήματος)</t>
  </si>
  <si>
    <t>Ποσοστό των καθαρών κερδών που αποδίδεται στο κράτος</t>
  </si>
  <si>
    <t>Ποοσοστό του τζίρου που αποδίδεται  στο κράτος</t>
  </si>
  <si>
    <t>Σύνολο φόρων και εισφορών</t>
  </si>
  <si>
    <t>Τελική επιβάρυνση ανά έτος σε σχέση με το έτος 2015</t>
  </si>
  <si>
    <t>ΥΠΟΛΟΓΙΣΜΟΣ ΦΟΡΩΝ ΚΑΙ ΑΣΦΑΛΙΣΤΙΚΩΝ ΕΙΣΦΟΡΩΝ ΕΛ.ΕΠΑΓΓΕΛΜΑΤΙΩΝ ΑΠΟ  1/1/2016 ΣΥΜΦΩΝΑ ΜΕ ΤΟΝ Ν. 4387/2016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</si>
</sst>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
    <numFmt numFmtId="165" formatCode="dd"/>
    <numFmt numFmtId="166" formatCode="0_);\-0_)"/>
  </numFmts>
  <fonts count="48" x14ac:knownFonts="1">
    <font>
      <sz val="10"/>
      <color theme="1" tint="0.14996795556505021"/>
      <name val="Calibri"/>
      <family val="2"/>
      <scheme val="minor"/>
    </font>
    <font>
      <sz val="11"/>
      <color theme="1"/>
      <name val="Calibri"/>
      <family val="2"/>
      <scheme val="minor"/>
    </font>
    <font>
      <sz val="10"/>
      <name val="Arial"/>
      <family val="2"/>
      <charset val="161"/>
    </font>
    <font>
      <b/>
      <u/>
      <sz val="10"/>
      <color indexed="9"/>
      <name val="Arial Greek"/>
      <family val="2"/>
      <charset val="161"/>
    </font>
    <font>
      <b/>
      <u/>
      <sz val="10"/>
      <color indexed="10"/>
      <name val="Arial Greek"/>
      <family val="2"/>
      <charset val="161"/>
    </font>
    <font>
      <sz val="10"/>
      <color indexed="63"/>
      <name val="Arial"/>
      <family val="2"/>
    </font>
    <font>
      <b/>
      <u/>
      <sz val="8"/>
      <color indexed="10"/>
      <name val="Arial Greek"/>
      <family val="2"/>
      <charset val="161"/>
    </font>
    <font>
      <sz val="10"/>
      <color indexed="63"/>
      <name val="Arial"/>
      <family val="2"/>
      <charset val="161"/>
    </font>
    <font>
      <sz val="11"/>
      <name val="Times New Roman Greek"/>
      <charset val="161"/>
    </font>
    <font>
      <sz val="10"/>
      <color indexed="8"/>
      <name val="Arial"/>
      <family val="2"/>
      <charset val="161"/>
    </font>
    <font>
      <sz val="11"/>
      <color rgb="FFFFFFFF"/>
      <name val="Calibri"/>
      <family val="2"/>
      <scheme val="minor"/>
    </font>
    <font>
      <sz val="11"/>
      <color rgb="FF000000"/>
      <name val="Calibri"/>
      <family val="2"/>
      <scheme val="minor"/>
    </font>
    <font>
      <sz val="9"/>
      <color theme="1"/>
      <name val="Calibri"/>
      <family val="2"/>
      <charset val="161"/>
      <scheme val="minor"/>
    </font>
    <font>
      <sz val="10"/>
      <color theme="1"/>
      <name val="Arial"/>
      <family val="2"/>
      <charset val="161"/>
    </font>
    <font>
      <b/>
      <sz val="10"/>
      <color theme="1"/>
      <name val="Arial"/>
      <family val="2"/>
      <charset val="161"/>
    </font>
    <font>
      <b/>
      <sz val="10"/>
      <color theme="1"/>
      <name val="Calibri"/>
      <family val="2"/>
      <charset val="161"/>
      <scheme val="minor"/>
    </font>
    <font>
      <b/>
      <sz val="11"/>
      <color theme="1"/>
      <name val="Calibri"/>
      <family val="2"/>
      <charset val="161"/>
      <scheme val="minor"/>
    </font>
    <font>
      <sz val="11"/>
      <color theme="1"/>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8"/>
      <color theme="4"/>
      <name val="Calibri Light"/>
      <family val="2"/>
      <scheme val="major"/>
    </font>
    <font>
      <sz val="11"/>
      <color theme="1" tint="0.14975432599871821"/>
      <name val="Calibri Light"/>
      <family val="2"/>
      <scheme val="major"/>
    </font>
    <font>
      <sz val="18"/>
      <color theme="1" tint="0.14996795556505021"/>
      <name val="Calibri Light"/>
      <family val="2"/>
      <scheme val="major"/>
    </font>
    <font>
      <sz val="10"/>
      <color theme="1" tint="0.14999847407452621"/>
      <name val="Calibri"/>
      <family val="2"/>
      <scheme val="minor"/>
    </font>
    <font>
      <sz val="12"/>
      <color theme="3"/>
      <name val="Calibri Light"/>
      <family val="2"/>
      <scheme val="major"/>
    </font>
    <font>
      <sz val="11"/>
      <color theme="1" tint="0.14993743705557422"/>
      <name val="Calibri Light"/>
      <family val="2"/>
      <scheme val="major"/>
    </font>
    <font>
      <sz val="10"/>
      <color theme="0"/>
      <name val="Calibri"/>
      <family val="2"/>
      <scheme val="minor"/>
    </font>
    <font>
      <b/>
      <sz val="12"/>
      <name val="Calibri"/>
      <family val="2"/>
      <charset val="161"/>
      <scheme val="minor"/>
    </font>
    <font>
      <b/>
      <sz val="10"/>
      <name val="Calibri"/>
      <family val="2"/>
      <charset val="161"/>
      <scheme val="minor"/>
    </font>
    <font>
      <b/>
      <sz val="10"/>
      <color theme="1" tint="0.499984740745262"/>
      <name val="Calibri"/>
      <family val="2"/>
      <charset val="161"/>
      <scheme val="minor"/>
    </font>
    <font>
      <b/>
      <sz val="10"/>
      <color theme="1" tint="0.34998626667073579"/>
      <name val="Calibri"/>
      <family val="2"/>
      <charset val="161"/>
      <scheme val="minor"/>
    </font>
    <font>
      <sz val="9"/>
      <color indexed="81"/>
      <name val="Tahoma"/>
      <family val="2"/>
      <charset val="161"/>
    </font>
    <font>
      <b/>
      <sz val="9"/>
      <color indexed="81"/>
      <name val="Tahoma"/>
      <family val="2"/>
      <charset val="161"/>
    </font>
    <font>
      <b/>
      <i/>
      <sz val="11"/>
      <name val="Calibri"/>
      <family val="2"/>
      <charset val="161"/>
      <scheme val="minor"/>
    </font>
    <font>
      <sz val="11"/>
      <color rgb="FF9C6500"/>
      <name val="Calibri"/>
      <family val="2"/>
      <charset val="161"/>
      <scheme val="minor"/>
    </font>
    <font>
      <sz val="9"/>
      <color indexed="81"/>
      <name val="Tahoma"/>
      <charset val="1"/>
    </font>
    <font>
      <sz val="10"/>
      <color theme="9" tint="-0.499984740745262"/>
      <name val="Calibri"/>
      <family val="2"/>
      <charset val="161"/>
      <scheme val="minor"/>
    </font>
    <font>
      <b/>
      <sz val="9"/>
      <color indexed="81"/>
      <name val="Tahoma"/>
      <charset val="1"/>
    </font>
    <font>
      <b/>
      <sz val="12"/>
      <color theme="1" tint="0.34998626667073579"/>
      <name val="Calibri"/>
      <family val="2"/>
      <charset val="161"/>
      <scheme val="minor"/>
    </font>
    <font>
      <sz val="12"/>
      <color theme="1" tint="0.14996795556505021"/>
      <name val="Calibri"/>
      <family val="2"/>
      <scheme val="minor"/>
    </font>
    <font>
      <sz val="11"/>
      <color theme="1" tint="0.14996795556505021"/>
      <name val="Calibri"/>
      <family val="2"/>
      <scheme val="minor"/>
    </font>
    <font>
      <b/>
      <sz val="11"/>
      <name val="Calibri"/>
      <family val="2"/>
      <charset val="161"/>
      <scheme val="minor"/>
    </font>
    <font>
      <sz val="16"/>
      <name val="Calibri"/>
      <family val="2"/>
      <charset val="161"/>
      <scheme val="minor"/>
    </font>
    <font>
      <b/>
      <sz val="12"/>
      <color theme="1"/>
      <name val="Calibri"/>
      <family val="2"/>
      <charset val="161"/>
      <scheme val="minor"/>
    </font>
    <font>
      <sz val="16"/>
      <color theme="1" tint="0.14996795556505021"/>
      <name val="Calibri"/>
      <family val="2"/>
      <scheme val="minor"/>
    </font>
    <font>
      <b/>
      <sz val="20"/>
      <color rgb="FF0070C0"/>
      <name val="Calibri"/>
      <family val="2"/>
      <charset val="161"/>
      <scheme val="minor"/>
    </font>
    <font>
      <b/>
      <sz val="12"/>
      <color theme="0"/>
      <name val="Calibri"/>
      <family val="2"/>
      <charset val="161"/>
      <scheme val="minor"/>
    </font>
  </fonts>
  <fills count="2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rgb="FFFFFF00"/>
        <bgColor indexed="64"/>
      </patternFill>
    </fill>
    <fill>
      <patternFill patternType="solid">
        <fgColor rgb="FFCC3300"/>
        <bgColor indexed="64"/>
      </patternFill>
    </fill>
    <fill>
      <patternFill patternType="solid">
        <fgColor rgb="FFDFDFDF"/>
        <bgColor indexed="64"/>
      </patternFill>
    </fill>
    <fill>
      <patternFill patternType="solid">
        <fgColor rgb="FFFFFFCC"/>
      </patternFill>
    </fill>
    <fill>
      <patternFill patternType="solid">
        <fgColor theme="4"/>
      </patternFill>
    </fill>
    <fill>
      <patternFill patternType="solid">
        <fgColor theme="5"/>
      </patternFill>
    </fill>
    <fill>
      <patternFill patternType="solid">
        <fgColor theme="7"/>
      </patternFill>
    </fill>
    <fill>
      <patternFill patternType="solid">
        <fgColor theme="7" tint="0.79998168889431442"/>
        <bgColor indexed="65"/>
      </patternFill>
    </fill>
    <fill>
      <patternFill patternType="solid">
        <fgColor rgb="FF65D2DD"/>
        <bgColor indexed="64"/>
      </patternFill>
    </fill>
    <fill>
      <patternFill patternType="solid">
        <fgColor rgb="FFF8F8F8"/>
        <bgColor indexed="64"/>
      </patternFill>
    </fill>
    <fill>
      <patternFill patternType="solid">
        <fgColor rgb="FFA2D8E3"/>
        <bgColor indexed="64"/>
      </patternFill>
    </fill>
    <fill>
      <patternFill patternType="solid">
        <fgColor rgb="FFF6BC94"/>
        <bgColor indexed="64"/>
      </patternFill>
    </fill>
    <fill>
      <patternFill patternType="solid">
        <fgColor rgb="FFBCE5F2"/>
        <bgColor indexed="64"/>
      </patternFill>
    </fill>
    <fill>
      <patternFill patternType="solid">
        <fgColor rgb="FFAD4B0F"/>
        <bgColor indexed="64"/>
      </patternFill>
    </fill>
    <fill>
      <patternFill patternType="solid">
        <fgColor rgb="FFA47D00"/>
        <bgColor indexed="64"/>
      </patternFill>
    </fill>
    <fill>
      <patternFill patternType="solid">
        <fgColor rgb="FF1B9BB5"/>
        <bgColor indexed="64"/>
      </patternFill>
    </fill>
    <fill>
      <patternFill patternType="solid">
        <fgColor rgb="FFDDDDDD"/>
        <bgColor indexed="64"/>
      </patternFill>
    </fill>
    <fill>
      <patternFill patternType="solid">
        <fgColor rgb="FFFFEB9C"/>
      </patternFill>
    </fill>
    <fill>
      <patternFill patternType="solid">
        <fgColor rgb="FFFF0000"/>
        <bgColor indexed="64"/>
      </patternFill>
    </fill>
    <fill>
      <patternFill patternType="solid">
        <fgColor rgb="FF0070C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thin">
        <color rgb="FFB2B2B2"/>
      </left>
      <right style="thin">
        <color rgb="FFB2B2B2"/>
      </right>
      <top style="thin">
        <color rgb="FFB2B2B2"/>
      </top>
      <bottom style="thin">
        <color rgb="FFB2B2B2"/>
      </bottom>
      <diagonal/>
    </border>
    <border>
      <left style="dotted">
        <color theme="0" tint="-0.34998626667073579"/>
      </left>
      <right style="dotted">
        <color theme="0" tint="-0.34998626667073579"/>
      </right>
      <top/>
      <bottom/>
      <diagonal/>
    </border>
    <border>
      <left style="dotted">
        <color theme="0" tint="-0.34998626667073579"/>
      </left>
      <right style="dotted">
        <color theme="0" tint="-0.34998626667073579"/>
      </right>
      <top style="thin">
        <color theme="0" tint="-0.34998626667073579"/>
      </top>
      <bottom style="thin">
        <color theme="0" tint="-0.34998626667073579"/>
      </bottom>
      <diagonal/>
    </border>
    <border>
      <left/>
      <right style="thin">
        <color rgb="FFB2B2B2"/>
      </right>
      <top style="thin">
        <color rgb="FFB2B2B2"/>
      </top>
      <bottom style="thin">
        <color rgb="FFB2B2B2"/>
      </bottom>
      <diagonal/>
    </border>
    <border>
      <left style="thin">
        <color rgb="FFB2B2B2"/>
      </left>
      <right/>
      <top style="thin">
        <color rgb="FFB2B2B2"/>
      </top>
      <bottom style="thin">
        <color rgb="FFB2B2B2"/>
      </bottom>
      <diagonal/>
    </border>
    <border>
      <left style="thin">
        <color rgb="FFB2B2B2"/>
      </left>
      <right/>
      <top style="thin">
        <color rgb="FFB2B2B2"/>
      </top>
      <bottom style="thin">
        <color indexed="64"/>
      </bottom>
      <diagonal/>
    </border>
    <border>
      <left/>
      <right style="thin">
        <color rgb="FFB2B2B2"/>
      </right>
      <top style="thin">
        <color rgb="FFB2B2B2"/>
      </top>
      <bottom style="thin">
        <color indexed="64"/>
      </bottom>
      <diagonal/>
    </border>
    <border>
      <left style="hair">
        <color rgb="FFB2B2B2"/>
      </left>
      <right style="hair">
        <color rgb="FFB2B2B2"/>
      </right>
      <top style="hair">
        <color rgb="FFB2B2B2"/>
      </top>
      <bottom style="hair">
        <color rgb="FFB2B2B2"/>
      </bottom>
      <diagonal/>
    </border>
    <border>
      <left style="hair">
        <color rgb="FFB2B2B2"/>
      </left>
      <right style="hair">
        <color rgb="FFB2B2B2"/>
      </right>
      <top style="hair">
        <color rgb="FFB2B2B2"/>
      </top>
      <bottom/>
      <diagonal/>
    </border>
    <border>
      <left/>
      <right style="dotted">
        <color theme="0" tint="-0.34998626667073579"/>
      </right>
      <top/>
      <bottom style="medium">
        <color rgb="FF1B9BB5"/>
      </bottom>
      <diagonal/>
    </border>
    <border>
      <left style="dotted">
        <color theme="0" tint="-0.34998626667073579"/>
      </left>
      <right style="dotted">
        <color theme="0" tint="-0.34998626667073579"/>
      </right>
      <top/>
      <bottom style="medium">
        <color rgb="FF1B9BB5"/>
      </bottom>
      <diagonal/>
    </border>
    <border>
      <left style="dotted">
        <color rgb="FFF8F8F8"/>
      </left>
      <right style="dotted">
        <color rgb="FFF8F8F8"/>
      </right>
      <top style="dotted">
        <color rgb="FFF8F8F8"/>
      </top>
      <bottom style="dotted">
        <color rgb="FFF8F8F8"/>
      </bottom>
      <diagonal/>
    </border>
    <border>
      <left style="hair">
        <color theme="0"/>
      </left>
      <right style="hair">
        <color theme="0"/>
      </right>
      <top style="hair">
        <color theme="0"/>
      </top>
      <bottom style="hair">
        <color theme="0"/>
      </bottom>
      <diagonal/>
    </border>
    <border>
      <left style="hair">
        <color theme="4"/>
      </left>
      <right style="hair">
        <color theme="4"/>
      </right>
      <top style="double">
        <color theme="4"/>
      </top>
      <bottom style="double">
        <color theme="4"/>
      </bottom>
      <diagonal/>
    </border>
    <border>
      <left style="hair">
        <color auto="1"/>
      </left>
      <right style="hair">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dotted">
        <color theme="0" tint="-0.34998626667073579"/>
      </left>
      <right style="medium">
        <color auto="1"/>
      </right>
      <top/>
      <bottom style="medium">
        <color rgb="FF1B9BB5"/>
      </bottom>
      <diagonal/>
    </border>
    <border>
      <left style="dotted">
        <color theme="0" tint="-0.34998626667073579"/>
      </left>
      <right style="medium">
        <color auto="1"/>
      </right>
      <top style="thin">
        <color theme="0" tint="-0.34998626667073579"/>
      </top>
      <bottom style="thin">
        <color theme="0" tint="-0.34998626667073579"/>
      </bottom>
      <diagonal/>
    </border>
    <border>
      <left style="hair">
        <color theme="4"/>
      </left>
      <right style="medium">
        <color auto="1"/>
      </right>
      <top style="double">
        <color theme="4"/>
      </top>
      <bottom style="double">
        <color theme="4"/>
      </bottom>
      <diagonal/>
    </border>
    <border>
      <left style="medium">
        <color auto="1"/>
      </left>
      <right/>
      <top/>
      <bottom style="medium">
        <color auto="1"/>
      </bottom>
      <diagonal/>
    </border>
    <border>
      <left/>
      <right style="dotted">
        <color theme="0" tint="-0.34998626667073579"/>
      </right>
      <top/>
      <bottom style="medium">
        <color auto="1"/>
      </bottom>
      <diagonal/>
    </border>
    <border>
      <left/>
      <right style="medium">
        <color auto="1"/>
      </right>
      <top/>
      <bottom style="medium">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hair">
        <color auto="1"/>
      </left>
      <right style="medium">
        <color auto="1"/>
      </right>
      <top style="thin">
        <color auto="1"/>
      </top>
      <bottom style="thin">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style="thin">
        <color theme="0"/>
      </left>
      <right style="thin">
        <color theme="0"/>
      </right>
      <top style="medium">
        <color auto="1"/>
      </top>
      <bottom style="medium">
        <color auto="1"/>
      </bottom>
      <diagonal/>
    </border>
    <border>
      <left style="thin">
        <color theme="0"/>
      </left>
      <right style="medium">
        <color auto="1"/>
      </right>
      <top style="medium">
        <color auto="1"/>
      </top>
      <bottom style="medium">
        <color auto="1"/>
      </bottom>
      <diagonal/>
    </border>
    <border>
      <left/>
      <right style="dotted">
        <color theme="0" tint="-0.34998626667073579"/>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rgb="FFB2B2B2"/>
      </left>
      <right style="hair">
        <color rgb="FFB2B2B2"/>
      </right>
      <top/>
      <bottom style="hair">
        <color rgb="FFB2B2B2"/>
      </bottom>
      <diagonal/>
    </border>
    <border>
      <left style="thin">
        <color rgb="FFB2B2B2"/>
      </left>
      <right/>
      <top/>
      <bottom style="thin">
        <color rgb="FFB2B2B2"/>
      </bottom>
      <diagonal/>
    </border>
    <border>
      <left/>
      <right style="thin">
        <color rgb="FFB2B2B2"/>
      </right>
      <top/>
      <bottom style="thin">
        <color rgb="FFB2B2B2"/>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bottom/>
      <diagonal/>
    </border>
    <border>
      <left/>
      <right style="thick">
        <color auto="1"/>
      </right>
      <top/>
      <bottom/>
      <diagonal/>
    </border>
    <border>
      <left style="dotted">
        <color theme="0" tint="-0.34998626667073579"/>
      </left>
      <right style="medium">
        <color auto="1"/>
      </right>
      <top style="medium">
        <color auto="1"/>
      </top>
      <bottom style="medium">
        <color auto="1"/>
      </bottom>
      <diagonal/>
    </border>
    <border>
      <left style="dotted">
        <color theme="0" tint="-0.34998626667073579"/>
      </left>
      <right style="dotted">
        <color theme="0" tint="-0.34998626667073579"/>
      </right>
      <top style="thin">
        <color theme="0" tint="-0.34998626667073579"/>
      </top>
      <bottom/>
      <diagonal/>
    </border>
    <border>
      <left style="dotted">
        <color theme="0" tint="-0.34998626667073579"/>
      </left>
      <right style="medium">
        <color auto="1"/>
      </right>
      <top style="thin">
        <color theme="0" tint="-0.34998626667073579"/>
      </top>
      <bottom/>
      <diagonal/>
    </border>
    <border>
      <left style="dotted">
        <color theme="0" tint="-0.34998626667073579"/>
      </left>
      <right style="dotted">
        <color theme="0" tint="-0.34998626667073579"/>
      </right>
      <top/>
      <bottom style="thin">
        <color theme="0" tint="-0.34998626667073579"/>
      </bottom>
      <diagonal/>
    </border>
    <border>
      <left style="dotted">
        <color theme="0" tint="-0.34998626667073579"/>
      </left>
      <right style="medium">
        <color auto="1"/>
      </right>
      <top/>
      <bottom style="thin">
        <color theme="0" tint="-0.34998626667073579"/>
      </bottom>
      <diagonal/>
    </border>
    <border>
      <left style="dotted">
        <color theme="0" tint="-0.34998626667073579"/>
      </left>
      <right style="dotted">
        <color theme="0" tint="-0.34998626667073579"/>
      </right>
      <top style="medium">
        <color auto="1"/>
      </top>
      <bottom style="medium">
        <color auto="1"/>
      </bottom>
      <diagonal/>
    </border>
    <border>
      <left/>
      <right style="dotted">
        <color theme="0" tint="-0.34998626667073579"/>
      </right>
      <top/>
      <bottom/>
      <diagonal/>
    </border>
    <border>
      <left/>
      <right style="medium">
        <color auto="1"/>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auto="1"/>
      </right>
      <top style="medium">
        <color auto="1"/>
      </top>
      <bottom style="medium">
        <color auto="1"/>
      </bottom>
      <diagonal/>
    </border>
  </borders>
  <cellStyleXfs count="24">
    <xf numFmtId="0" fontId="0" fillId="0" borderId="0">
      <alignment vertical="center"/>
    </xf>
    <xf numFmtId="0" fontId="2" fillId="0" borderId="0"/>
    <xf numFmtId="0" fontId="2" fillId="0" borderId="0"/>
    <xf numFmtId="0" fontId="8" fillId="0" borderId="0"/>
    <xf numFmtId="0" fontId="2" fillId="0" borderId="0"/>
    <xf numFmtId="0" fontId="21" fillId="0" borderId="0" applyNumberForma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7" fillId="8" borderId="11" applyNumberFormat="0" applyFont="0" applyAlignment="0" applyProtection="0"/>
    <xf numFmtId="0" fontId="18" fillId="0" borderId="0" applyNumberFormat="0" applyFill="0" applyBorder="0" applyAlignment="0" applyProtection="0"/>
    <xf numFmtId="0" fontId="19" fillId="0" borderId="24" applyNumberFormat="0" applyFill="0" applyAlignment="0" applyProtection="0"/>
    <xf numFmtId="0" fontId="20" fillId="9" borderId="0" applyNumberFormat="0" applyBorder="0" applyAlignment="0" applyProtection="0"/>
    <xf numFmtId="0" fontId="1" fillId="17" borderId="0" applyNumberFormat="0" applyBorder="0" applyAlignment="0" applyProtection="0"/>
    <xf numFmtId="0" fontId="1" fillId="15" borderId="22" applyProtection="0"/>
    <xf numFmtId="0" fontId="20" fillId="16" borderId="0" applyNumberFormat="0" applyBorder="0" applyProtection="0"/>
    <xf numFmtId="0" fontId="20" fillId="18" borderId="0" applyNumberFormat="0" applyBorder="0" applyAlignment="0" applyProtection="0"/>
    <xf numFmtId="0" fontId="20" fillId="11" borderId="0" applyNumberFormat="0" applyBorder="0" applyAlignment="0" applyProtection="0"/>
    <xf numFmtId="0" fontId="1" fillId="12" borderId="23" applyNumberFormat="0" applyAlignment="0" applyProtection="0"/>
    <xf numFmtId="164" fontId="23" fillId="0" borderId="12">
      <alignment horizontal="right" vertical="center" wrapText="1" indent="1"/>
    </xf>
    <xf numFmtId="166" fontId="24" fillId="15" borderId="20" applyFont="0" applyAlignment="0">
      <alignment vertical="center"/>
    </xf>
    <xf numFmtId="0" fontId="20" fillId="10" borderId="11" applyAlignment="0">
      <alignment horizontal="right" vertical="center" wrapText="1"/>
    </xf>
    <xf numFmtId="0" fontId="16" fillId="13" borderId="18">
      <alignment horizontal="right" vertical="center" wrapText="1"/>
    </xf>
    <xf numFmtId="0" fontId="35" fillId="22" borderId="0" applyNumberFormat="0" applyBorder="0" applyAlignment="0" applyProtection="0"/>
  </cellStyleXfs>
  <cellXfs count="230">
    <xf numFmtId="0" fontId="0" fillId="0" borderId="0" xfId="0">
      <alignment vertical="center"/>
    </xf>
    <xf numFmtId="0" fontId="0" fillId="0" borderId="0" xfId="0" applyAlignment="1">
      <alignment horizontal="center"/>
    </xf>
    <xf numFmtId="0" fontId="2" fillId="0" borderId="0" xfId="1" applyAlignment="1">
      <alignment horizontal="center"/>
    </xf>
    <xf numFmtId="0" fontId="4" fillId="0" borderId="0" xfId="2" applyFont="1" applyFill="1" applyBorder="1" applyAlignment="1" applyProtection="1">
      <protection hidden="1"/>
    </xf>
    <xf numFmtId="4" fontId="5" fillId="0" borderId="0" xfId="2" applyNumberFormat="1" applyFont="1" applyFill="1" applyBorder="1" applyProtection="1">
      <protection hidden="1"/>
    </xf>
    <xf numFmtId="0" fontId="2" fillId="0" borderId="0" xfId="1" applyFill="1" applyBorder="1"/>
    <xf numFmtId="0" fontId="6" fillId="2" borderId="1" xfId="2" applyFont="1" applyFill="1" applyBorder="1" applyAlignment="1" applyProtection="1">
      <alignment horizontal="center"/>
      <protection locked="0"/>
    </xf>
    <xf numFmtId="0" fontId="6" fillId="2" borderId="2" xfId="2" applyFont="1" applyFill="1" applyBorder="1" applyAlignment="1" applyProtection="1">
      <alignment horizontal="center"/>
      <protection locked="0"/>
    </xf>
    <xf numFmtId="0" fontId="6" fillId="0" borderId="0" xfId="2" applyFont="1" applyFill="1" applyBorder="1" applyAlignment="1" applyProtection="1">
      <alignment horizontal="center"/>
      <protection hidden="1"/>
    </xf>
    <xf numFmtId="4" fontId="7" fillId="0" borderId="0" xfId="2" applyNumberFormat="1" applyFont="1" applyFill="1" applyBorder="1" applyProtection="1">
      <protection hidden="1"/>
    </xf>
    <xf numFmtId="0" fontId="2" fillId="0" borderId="0" xfId="4"/>
    <xf numFmtId="4" fontId="8" fillId="3" borderId="1" xfId="3" applyNumberFormat="1" applyFill="1" applyBorder="1" applyAlignment="1" applyProtection="1">
      <alignment horizontal="center"/>
      <protection hidden="1"/>
    </xf>
    <xf numFmtId="4" fontId="8" fillId="0" borderId="0" xfId="3" applyNumberFormat="1" applyFill="1" applyBorder="1" applyAlignment="1" applyProtection="1">
      <alignment horizontal="centerContinuous"/>
      <protection hidden="1"/>
    </xf>
    <xf numFmtId="4" fontId="8" fillId="0" borderId="0" xfId="3" applyNumberFormat="1" applyFill="1" applyBorder="1" applyAlignment="1" applyProtection="1">
      <alignment horizontal="center"/>
      <protection hidden="1"/>
    </xf>
    <xf numFmtId="4" fontId="9" fillId="0" borderId="0" xfId="2" applyNumberFormat="1" applyFont="1" applyFill="1" applyBorder="1" applyProtection="1">
      <protection hidden="1"/>
    </xf>
    <xf numFmtId="0" fontId="2" fillId="0" borderId="0" xfId="1"/>
    <xf numFmtId="4" fontId="2" fillId="0" borderId="0" xfId="1" applyNumberFormat="1" applyAlignment="1">
      <alignment horizontal="center"/>
    </xf>
    <xf numFmtId="0" fontId="10" fillId="6" borderId="5" xfId="0" applyFont="1" applyFill="1" applyBorder="1" applyAlignment="1">
      <alignment horizontal="center" vertical="center" wrapText="1"/>
    </xf>
    <xf numFmtId="0" fontId="11" fillId="7" borderId="5" xfId="0" applyFont="1" applyFill="1" applyBorder="1" applyAlignment="1">
      <alignment horizontal="center" vertical="center" wrapText="1"/>
    </xf>
    <xf numFmtId="9" fontId="0" fillId="0" borderId="0" xfId="0" applyNumberFormat="1">
      <alignment vertical="center"/>
    </xf>
    <xf numFmtId="9" fontId="11" fillId="7" borderId="5" xfId="0" applyNumberFormat="1" applyFont="1" applyFill="1" applyBorder="1" applyAlignment="1">
      <alignment horizontal="center" vertical="center" wrapText="1"/>
    </xf>
    <xf numFmtId="10" fontId="11" fillId="7" borderId="5" xfId="0" applyNumberFormat="1" applyFont="1" applyFill="1" applyBorder="1" applyAlignment="1">
      <alignment horizontal="center" vertical="center" wrapText="1"/>
    </xf>
    <xf numFmtId="2" fontId="11" fillId="7" borderId="5" xfId="0" applyNumberFormat="1" applyFont="1" applyFill="1" applyBorder="1" applyAlignment="1">
      <alignment vertical="center" wrapText="1"/>
    </xf>
    <xf numFmtId="2" fontId="0" fillId="0" borderId="0" xfId="0" applyNumberFormat="1" applyAlignment="1"/>
    <xf numFmtId="2" fontId="5" fillId="0" borderId="0" xfId="2" applyNumberFormat="1" applyFont="1" applyFill="1" applyBorder="1" applyProtection="1">
      <protection hidden="1"/>
    </xf>
    <xf numFmtId="2" fontId="7" fillId="0" borderId="0" xfId="2" applyNumberFormat="1" applyFont="1" applyFill="1" applyBorder="1" applyProtection="1">
      <protection hidden="1"/>
    </xf>
    <xf numFmtId="2" fontId="8" fillId="0" borderId="0" xfId="3" applyNumberFormat="1" applyFill="1" applyBorder="1" applyAlignment="1" applyProtection="1">
      <alignment horizontal="center"/>
      <protection hidden="1"/>
    </xf>
    <xf numFmtId="2" fontId="2" fillId="0" borderId="0" xfId="1" applyNumberFormat="1" applyFill="1" applyBorder="1"/>
    <xf numFmtId="10" fontId="0" fillId="0" borderId="0" xfId="0" applyNumberFormat="1">
      <alignment vertical="center"/>
    </xf>
    <xf numFmtId="4" fontId="0" fillId="0" borderId="0" xfId="0" applyNumberFormat="1">
      <alignment vertical="center"/>
    </xf>
    <xf numFmtId="0" fontId="0" fillId="0" borderId="0" xfId="0" applyBorder="1" applyAlignment="1">
      <alignment horizontal="center"/>
    </xf>
    <xf numFmtId="0" fontId="0" fillId="0" borderId="1" xfId="0" applyBorder="1">
      <alignment vertical="center"/>
    </xf>
    <xf numFmtId="0" fontId="13"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4" fontId="0" fillId="5" borderId="0" xfId="0" applyNumberFormat="1" applyFill="1">
      <alignment vertical="center"/>
    </xf>
    <xf numFmtId="0" fontId="14" fillId="0" borderId="0" xfId="0" applyFont="1" applyFill="1" applyBorder="1" applyAlignment="1">
      <alignment horizontal="center" vertical="center" wrapText="1"/>
    </xf>
    <xf numFmtId="2" fontId="0" fillId="0" borderId="0" xfId="0" applyNumberFormat="1">
      <alignment vertical="center"/>
    </xf>
    <xf numFmtId="0" fontId="0" fillId="0" borderId="0" xfId="0" applyBorder="1">
      <alignment vertical="center"/>
    </xf>
    <xf numFmtId="1" fontId="0" fillId="0" borderId="0" xfId="0" applyNumberFormat="1" applyBorder="1">
      <alignment vertical="center"/>
    </xf>
    <xf numFmtId="4" fontId="0" fillId="0" borderId="0" xfId="0" applyNumberFormat="1" applyBorder="1">
      <alignment vertical="center"/>
    </xf>
    <xf numFmtId="0" fontId="13" fillId="0" borderId="0" xfId="0" applyFont="1" applyFill="1" applyBorder="1" applyAlignment="1">
      <alignment horizontal="center" vertical="center" wrapText="1"/>
    </xf>
    <xf numFmtId="1" fontId="11" fillId="7" borderId="1" xfId="0" applyNumberFormat="1" applyFont="1" applyFill="1" applyBorder="1" applyAlignment="1">
      <alignment horizontal="center" vertical="center" wrapText="1"/>
    </xf>
    <xf numFmtId="0" fontId="11" fillId="7" borderId="1" xfId="0" applyFont="1" applyFill="1" applyBorder="1" applyAlignment="1">
      <alignment horizontal="center" vertical="center" wrapText="1"/>
    </xf>
    <xf numFmtId="0" fontId="2" fillId="0" borderId="0" xfId="1" applyBorder="1" applyAlignment="1">
      <alignment horizontal="center"/>
    </xf>
    <xf numFmtId="4" fontId="2" fillId="0" borderId="0" xfId="1" applyNumberFormat="1" applyBorder="1" applyAlignment="1">
      <alignment horizontal="center"/>
    </xf>
    <xf numFmtId="0" fontId="2" fillId="0" borderId="0" xfId="1" applyFont="1" applyBorder="1" applyAlignment="1">
      <alignment horizontal="center" wrapText="1"/>
    </xf>
    <xf numFmtId="0" fontId="2" fillId="0" borderId="0" xfId="1" applyBorder="1" applyAlignment="1">
      <alignment horizontal="center" wrapText="1"/>
    </xf>
    <xf numFmtId="4" fontId="2" fillId="0" borderId="0" xfId="1" applyNumberFormat="1" applyFont="1" applyBorder="1" applyAlignment="1">
      <alignment horizontal="center" wrapText="1"/>
    </xf>
    <xf numFmtId="0" fontId="2" fillId="0" borderId="0" xfId="1" applyFill="1" applyBorder="1" applyAlignment="1">
      <alignment horizontal="center"/>
    </xf>
    <xf numFmtId="0" fontId="2" fillId="0" borderId="0" xfId="1" applyFont="1" applyFill="1" applyBorder="1" applyAlignment="1">
      <alignment horizontal="center" wrapText="1"/>
    </xf>
    <xf numFmtId="4" fontId="2" fillId="0" borderId="0" xfId="1" applyNumberFormat="1" applyFill="1" applyBorder="1" applyAlignment="1">
      <alignment horizontal="center"/>
    </xf>
    <xf numFmtId="4" fontId="2" fillId="5" borderId="0" xfId="1" applyNumberFormat="1" applyFill="1" applyBorder="1" applyAlignment="1">
      <alignment horizontal="center"/>
    </xf>
    <xf numFmtId="0" fontId="2" fillId="5" borderId="0" xfId="1" applyFill="1" applyBorder="1" applyAlignment="1">
      <alignment horizontal="center"/>
    </xf>
    <xf numFmtId="4" fontId="2" fillId="0" borderId="0" xfId="1" applyNumberFormat="1" applyFill="1" applyAlignment="1">
      <alignment horizontal="center"/>
    </xf>
    <xf numFmtId="0" fontId="4" fillId="0" borderId="0" xfId="2" applyFont="1" applyFill="1" applyBorder="1" applyAlignment="1" applyProtection="1">
      <alignment horizontal="center"/>
      <protection hidden="1"/>
    </xf>
    <xf numFmtId="4" fontId="5" fillId="0" borderId="0" xfId="2" applyNumberFormat="1" applyFont="1" applyFill="1" applyBorder="1" applyAlignment="1" applyProtection="1">
      <alignment horizontal="center"/>
      <protection hidden="1"/>
    </xf>
    <xf numFmtId="4" fontId="7" fillId="0" borderId="0" xfId="2" applyNumberFormat="1" applyFont="1" applyFill="1" applyBorder="1" applyAlignment="1" applyProtection="1">
      <alignment horizontal="center"/>
      <protection hidden="1"/>
    </xf>
    <xf numFmtId="4" fontId="9" fillId="0" borderId="0" xfId="2" applyNumberFormat="1" applyFont="1" applyFill="1" applyBorder="1" applyAlignment="1" applyProtection="1">
      <alignment horizontal="center"/>
      <protection hidden="1"/>
    </xf>
    <xf numFmtId="4" fontId="8" fillId="0" borderId="1" xfId="3" applyNumberFormat="1" applyFill="1" applyBorder="1" applyAlignment="1" applyProtection="1">
      <alignment horizontal="center"/>
      <protection hidden="1"/>
    </xf>
    <xf numFmtId="4" fontId="8" fillId="0" borderId="1" xfId="3" applyNumberFormat="1" applyFill="1" applyBorder="1" applyAlignment="1" applyProtection="1">
      <alignment horizontal="center" vertical="center"/>
      <protection hidden="1"/>
    </xf>
    <xf numFmtId="4" fontId="9" fillId="0" borderId="1" xfId="2" applyNumberFormat="1" applyFont="1" applyFill="1" applyBorder="1" applyAlignment="1" applyProtection="1">
      <alignment horizontal="center"/>
      <protection hidden="1"/>
    </xf>
    <xf numFmtId="4" fontId="2" fillId="0" borderId="1" xfId="1" applyNumberFormat="1" applyFill="1" applyBorder="1" applyAlignment="1">
      <alignment horizontal="center"/>
    </xf>
    <xf numFmtId="0" fontId="6" fillId="2" borderId="3" xfId="2" applyFont="1" applyFill="1" applyBorder="1" applyAlignment="1" applyProtection="1">
      <alignment horizontal="center"/>
      <protection locked="0"/>
    </xf>
    <xf numFmtId="0" fontId="6" fillId="2" borderId="4" xfId="2" applyFont="1" applyFill="1" applyBorder="1" applyAlignment="1" applyProtection="1">
      <alignment horizontal="center"/>
      <protection locked="0"/>
    </xf>
    <xf numFmtId="4" fontId="8" fillId="3" borderId="1" xfId="3" applyNumberFormat="1" applyFill="1" applyBorder="1" applyAlignment="1" applyProtection="1">
      <alignment horizontal="left" vertical="center"/>
      <protection hidden="1"/>
    </xf>
    <xf numFmtId="0" fontId="2" fillId="0" borderId="0" xfId="1" applyFill="1" applyAlignment="1">
      <alignment horizontal="center"/>
    </xf>
    <xf numFmtId="4" fontId="2" fillId="0" borderId="1" xfId="1" applyNumberFormat="1" applyFont="1" applyBorder="1" applyAlignment="1">
      <alignment horizontal="center" wrapText="1"/>
    </xf>
    <xf numFmtId="4" fontId="2" fillId="0" borderId="1" xfId="1" applyNumberFormat="1" applyBorder="1" applyAlignment="1">
      <alignment horizontal="center"/>
    </xf>
    <xf numFmtId="0" fontId="14" fillId="0" borderId="0" xfId="0" applyFont="1" applyBorder="1" applyAlignment="1">
      <alignment horizontal="center" vertical="center" wrapText="1"/>
    </xf>
    <xf numFmtId="0" fontId="0" fillId="0" borderId="0" xfId="0" applyFill="1" applyBorder="1">
      <alignment vertical="center"/>
    </xf>
    <xf numFmtId="4" fontId="12" fillId="0" borderId="0" xfId="0" applyNumberFormat="1" applyFont="1" applyFill="1" applyBorder="1">
      <alignment vertical="center"/>
    </xf>
    <xf numFmtId="0" fontId="14" fillId="0" borderId="0" xfId="0" applyFont="1" applyFill="1" applyBorder="1" applyAlignment="1">
      <alignment horizontal="center" vertical="center" wrapText="1"/>
    </xf>
    <xf numFmtId="49" fontId="0" fillId="0" borderId="0" xfId="0" applyNumberFormat="1" applyFill="1" applyBorder="1" applyAlignment="1">
      <alignment horizontal="right"/>
    </xf>
    <xf numFmtId="0" fontId="0" fillId="0" borderId="0" xfId="0" applyAlignment="1">
      <alignment horizontal="center" vertical="center"/>
    </xf>
    <xf numFmtId="0" fontId="16" fillId="0" borderId="0" xfId="22" applyFill="1" applyBorder="1">
      <alignment horizontal="right" vertical="center" wrapText="1"/>
    </xf>
    <xf numFmtId="0" fontId="0" fillId="14" borderId="1" xfId="0" applyFill="1" applyBorder="1">
      <alignment vertical="center"/>
    </xf>
    <xf numFmtId="165" fontId="24" fillId="0" borderId="0" xfId="0" applyNumberFormat="1" applyFont="1" applyFill="1" applyBorder="1" applyAlignment="1">
      <alignment horizontal="right" wrapText="1" indent="1"/>
    </xf>
    <xf numFmtId="0" fontId="0" fillId="0" borderId="0" xfId="0" applyAlignment="1">
      <alignment vertical="center" wrapText="1"/>
    </xf>
    <xf numFmtId="0" fontId="16" fillId="0" borderId="0" xfId="22" applyFill="1" applyBorder="1" applyAlignment="1">
      <alignment horizontal="right" vertical="center" wrapText="1"/>
    </xf>
    <xf numFmtId="0" fontId="0" fillId="0" borderId="0" xfId="0" applyFill="1" applyBorder="1" applyAlignment="1">
      <alignment vertical="center" wrapText="1"/>
    </xf>
    <xf numFmtId="0" fontId="12" fillId="0" borderId="0" xfId="0" applyFont="1" applyFill="1" applyBorder="1" applyAlignment="1">
      <alignment vertical="center" wrapText="1"/>
    </xf>
    <xf numFmtId="0" fontId="1" fillId="0" borderId="0" xfId="14" applyFill="1" applyBorder="1" applyAlignment="1">
      <alignment horizontal="right" wrapText="1"/>
    </xf>
    <xf numFmtId="4" fontId="1" fillId="0" borderId="0" xfId="14" applyNumberFormat="1" applyFill="1" applyBorder="1" applyAlignment="1">
      <alignment horizontal="center"/>
    </xf>
    <xf numFmtId="4" fontId="16" fillId="0" borderId="0" xfId="0" applyNumberFormat="1" applyFont="1" applyBorder="1" applyAlignment="1">
      <alignment horizontal="center" vertical="center"/>
    </xf>
    <xf numFmtId="38" fontId="30" fillId="0" borderId="13" xfId="0" applyNumberFormat="1" applyFont="1" applyBorder="1" applyAlignment="1">
      <alignment horizontal="right" vertical="center" wrapText="1"/>
    </xf>
    <xf numFmtId="4" fontId="30" fillId="0" borderId="13" xfId="0" applyNumberFormat="1" applyFont="1" applyBorder="1" applyAlignment="1">
      <alignment horizontal="right" vertical="center"/>
    </xf>
    <xf numFmtId="4" fontId="0" fillId="14" borderId="1" xfId="0" applyNumberFormat="1" applyFill="1" applyBorder="1">
      <alignment vertical="center"/>
    </xf>
    <xf numFmtId="1" fontId="11" fillId="7" borderId="1" xfId="0" applyNumberFormat="1" applyFont="1" applyFill="1" applyBorder="1" applyAlignment="1">
      <alignment horizontal="center" wrapText="1"/>
    </xf>
    <xf numFmtId="0" fontId="0" fillId="0" borderId="1" xfId="0" applyBorder="1" applyAlignment="1">
      <alignment horizontal="center"/>
    </xf>
    <xf numFmtId="0" fontId="11" fillId="7" borderId="1" xfId="0" applyFont="1" applyFill="1" applyBorder="1" applyAlignment="1">
      <alignment horizontal="center" wrapText="1"/>
    </xf>
    <xf numFmtId="0" fontId="2" fillId="0" borderId="1" xfId="1" applyBorder="1"/>
    <xf numFmtId="0" fontId="2" fillId="0" borderId="1" xfId="1" applyFill="1" applyBorder="1"/>
    <xf numFmtId="2" fontId="2" fillId="0" borderId="1" xfId="1" applyNumberFormat="1" applyFill="1" applyBorder="1"/>
    <xf numFmtId="0" fontId="2" fillId="0" borderId="1" xfId="1" applyFill="1" applyBorder="1" applyAlignment="1">
      <alignment horizontal="center"/>
    </xf>
    <xf numFmtId="4" fontId="8" fillId="0" borderId="1" xfId="3" applyNumberFormat="1" applyFill="1" applyBorder="1" applyAlignment="1" applyProtection="1">
      <alignment horizontal="left" vertical="center"/>
      <protection hidden="1"/>
    </xf>
    <xf numFmtId="2" fontId="8" fillId="0" borderId="1" xfId="3" applyNumberFormat="1" applyFill="1" applyBorder="1" applyAlignment="1" applyProtection="1">
      <alignment horizontal="centerContinuous"/>
      <protection hidden="1"/>
    </xf>
    <xf numFmtId="0" fontId="37" fillId="22" borderId="25" xfId="23" applyFont="1" applyBorder="1" applyAlignment="1">
      <alignment horizontal="center" vertical="center" wrapText="1"/>
    </xf>
    <xf numFmtId="4" fontId="37" fillId="22" borderId="25" xfId="23" applyNumberFormat="1" applyFont="1" applyBorder="1" applyAlignment="1">
      <alignment horizontal="center" vertical="center"/>
    </xf>
    <xf numFmtId="0" fontId="14" fillId="0" borderId="1" xfId="0" applyFont="1" applyBorder="1" applyAlignment="1">
      <alignment horizontal="center" vertical="center" wrapText="1"/>
    </xf>
    <xf numFmtId="0" fontId="14" fillId="0" borderId="0" xfId="0" applyFont="1" applyFill="1" applyBorder="1" applyAlignment="1">
      <alignment horizontal="center" vertical="center" wrapText="1"/>
    </xf>
    <xf numFmtId="0" fontId="3" fillId="4" borderId="1" xfId="2" applyFont="1" applyFill="1" applyBorder="1" applyAlignment="1" applyProtection="1">
      <alignment horizontal="center"/>
      <protection locked="0"/>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0" xfId="0" applyFont="1" applyFill="1" applyBorder="1" applyAlignment="1">
      <alignment horizontal="center" vertical="center" wrapText="1"/>
    </xf>
    <xf numFmtId="4" fontId="34" fillId="21" borderId="16" xfId="10" applyNumberFormat="1" applyFont="1" applyFill="1" applyBorder="1" applyAlignment="1" applyProtection="1">
      <alignment horizontal="center" vertical="center"/>
      <protection locked="0"/>
    </xf>
    <xf numFmtId="4" fontId="34" fillId="21" borderId="17" xfId="10" applyNumberFormat="1" applyFont="1" applyFill="1" applyBorder="1" applyAlignment="1" applyProtection="1">
      <alignment horizontal="center" vertical="center"/>
      <protection locked="0"/>
    </xf>
    <xf numFmtId="10" fontId="29" fillId="8" borderId="15" xfId="9" applyNumberFormat="1" applyFont="1" applyBorder="1" applyAlignment="1" applyProtection="1">
      <alignment horizontal="center" vertical="center"/>
      <protection locked="0"/>
    </xf>
    <xf numFmtId="10" fontId="29" fillId="8" borderId="14" xfId="9" applyNumberFormat="1" applyFont="1" applyBorder="1" applyAlignment="1" applyProtection="1">
      <alignment horizontal="center" vertical="center"/>
      <protection locked="0"/>
    </xf>
    <xf numFmtId="0" fontId="0" fillId="14" borderId="3" xfId="0" applyFill="1" applyBorder="1">
      <alignment vertical="center"/>
    </xf>
    <xf numFmtId="4" fontId="0" fillId="14" borderId="3" xfId="0" applyNumberFormat="1" applyFill="1" applyBorder="1">
      <alignment vertical="center"/>
    </xf>
    <xf numFmtId="0" fontId="0" fillId="0" borderId="26" xfId="0" applyBorder="1" applyAlignment="1">
      <alignment horizontal="center" vertical="center"/>
    </xf>
    <xf numFmtId="0" fontId="0" fillId="0" borderId="27" xfId="0" applyBorder="1" applyAlignment="1">
      <alignment vertical="center" wrapText="1"/>
    </xf>
    <xf numFmtId="0" fontId="0" fillId="0" borderId="27" xfId="0" applyBorder="1">
      <alignment vertical="center"/>
    </xf>
    <xf numFmtId="0" fontId="0" fillId="0" borderId="28" xfId="0" applyBorder="1">
      <alignment vertical="center"/>
    </xf>
    <xf numFmtId="0" fontId="0" fillId="0" borderId="29" xfId="0" applyBorder="1" applyAlignment="1">
      <alignment horizontal="center" vertical="center"/>
    </xf>
    <xf numFmtId="0" fontId="16" fillId="0" borderId="29" xfId="0" applyFont="1" applyBorder="1" applyAlignment="1">
      <alignment horizontal="center" vertical="center"/>
    </xf>
    <xf numFmtId="4" fontId="30" fillId="0" borderId="31" xfId="0" applyNumberFormat="1" applyFont="1" applyBorder="1" applyAlignment="1">
      <alignment horizontal="right" vertical="center"/>
    </xf>
    <xf numFmtId="38" fontId="31" fillId="0" borderId="24" xfId="11" applyNumberFormat="1" applyFont="1" applyFill="1" applyBorder="1" applyAlignment="1">
      <alignment horizontal="right" vertical="center" wrapText="1"/>
    </xf>
    <xf numFmtId="4" fontId="31" fillId="0" borderId="24" xfId="11" applyNumberFormat="1" applyFont="1" applyFill="1" applyBorder="1" applyAlignment="1">
      <alignment horizontal="right" vertical="center"/>
    </xf>
    <xf numFmtId="4" fontId="31" fillId="0" borderId="32" xfId="11" applyNumberFormat="1" applyFont="1" applyFill="1" applyBorder="1" applyAlignment="1">
      <alignment horizontal="right" vertical="center"/>
    </xf>
    <xf numFmtId="0" fontId="16" fillId="0" borderId="33" xfId="0" applyFont="1" applyBorder="1" applyAlignment="1">
      <alignment horizontal="center" vertical="center"/>
    </xf>
    <xf numFmtId="0" fontId="16" fillId="0" borderId="26" xfId="0" applyFont="1" applyFill="1" applyBorder="1" applyAlignment="1">
      <alignment horizontal="center" vertical="center"/>
    </xf>
    <xf numFmtId="0" fontId="37" fillId="22" borderId="36" xfId="23" applyFont="1" applyBorder="1" applyAlignment="1">
      <alignment horizontal="center" vertical="center" wrapText="1"/>
    </xf>
    <xf numFmtId="4" fontId="37" fillId="22" borderId="36" xfId="23" applyNumberFormat="1" applyFont="1" applyBorder="1" applyAlignment="1">
      <alignment horizontal="center" vertical="center"/>
    </xf>
    <xf numFmtId="4" fontId="37" fillId="22" borderId="37" xfId="23" applyNumberFormat="1" applyFont="1" applyBorder="1" applyAlignment="1">
      <alignment horizontal="center" vertical="center"/>
    </xf>
    <xf numFmtId="4" fontId="37" fillId="22" borderId="38" xfId="23" applyNumberFormat="1" applyFont="1" applyBorder="1" applyAlignment="1">
      <alignment horizontal="center" vertical="center"/>
    </xf>
    <xf numFmtId="0" fontId="16" fillId="0" borderId="29" xfId="0" applyFont="1" applyFill="1" applyBorder="1" applyAlignment="1">
      <alignment horizontal="center" vertical="center"/>
    </xf>
    <xf numFmtId="49" fontId="16" fillId="0" borderId="33" xfId="0" applyNumberFormat="1" applyFont="1" applyBorder="1" applyAlignment="1">
      <alignment horizontal="center" vertical="center"/>
    </xf>
    <xf numFmtId="0" fontId="37" fillId="22" borderId="39" xfId="23" applyFont="1" applyBorder="1" applyAlignment="1">
      <alignment horizontal="center" vertical="center" wrapText="1"/>
    </xf>
    <xf numFmtId="4" fontId="37" fillId="22" borderId="39" xfId="23" applyNumberFormat="1" applyFont="1" applyBorder="1" applyAlignment="1">
      <alignment horizontal="center" vertical="center"/>
    </xf>
    <xf numFmtId="4" fontId="37" fillId="22" borderId="40" xfId="23" applyNumberFormat="1" applyFont="1" applyBorder="1" applyAlignment="1">
      <alignment horizontal="center" vertical="center"/>
    </xf>
    <xf numFmtId="0" fontId="16" fillId="0" borderId="41" xfId="0" applyFont="1" applyBorder="1" applyAlignment="1">
      <alignment horizontal="center" vertical="center"/>
    </xf>
    <xf numFmtId="4" fontId="31" fillId="15" borderId="42" xfId="20" applyNumberFormat="1" applyFont="1" applyBorder="1" applyAlignment="1">
      <alignment horizontal="center" vertical="center" wrapText="1"/>
    </xf>
    <xf numFmtId="0" fontId="0" fillId="0" borderId="41" xfId="0" applyBorder="1" applyAlignment="1">
      <alignment horizontal="center" vertical="center"/>
    </xf>
    <xf numFmtId="166" fontId="27" fillId="18" borderId="44" xfId="16" applyNumberFormat="1" applyFont="1" applyBorder="1" applyAlignment="1">
      <alignment horizontal="center" vertical="center" wrapText="1"/>
    </xf>
    <xf numFmtId="0" fontId="0" fillId="0" borderId="45" xfId="0" applyFill="1" applyBorder="1">
      <alignment vertical="center"/>
    </xf>
    <xf numFmtId="4" fontId="39" fillId="15" borderId="42" xfId="20" applyNumberFormat="1" applyFont="1" applyBorder="1" applyAlignment="1">
      <alignment horizontal="center"/>
    </xf>
    <xf numFmtId="4" fontId="39" fillId="15" borderId="43" xfId="20" applyNumberFormat="1" applyFont="1" applyBorder="1" applyAlignment="1">
      <alignment horizontal="center"/>
    </xf>
    <xf numFmtId="10" fontId="28" fillId="8" borderId="49" xfId="9" applyNumberFormat="1" applyFont="1" applyBorder="1" applyAlignment="1" applyProtection="1">
      <alignment horizontal="center" vertical="center" wrapText="1"/>
      <protection locked="0"/>
    </xf>
    <xf numFmtId="10" fontId="28" fillId="8" borderId="50" xfId="9" applyNumberFormat="1" applyFont="1" applyBorder="1" applyAlignment="1" applyProtection="1">
      <alignment horizontal="center" vertical="center" wrapText="1"/>
      <protection locked="0"/>
    </xf>
    <xf numFmtId="3" fontId="42" fillId="0" borderId="21" xfId="0" applyNumberFormat="1" applyFont="1" applyFill="1" applyBorder="1" applyAlignment="1">
      <alignment horizontal="center" wrapText="1"/>
    </xf>
    <xf numFmtId="0" fontId="43" fillId="0" borderId="21" xfId="0" applyNumberFormat="1" applyFont="1" applyFill="1" applyBorder="1" applyAlignment="1">
      <alignment horizontal="right" wrapText="1" indent="1"/>
    </xf>
    <xf numFmtId="0" fontId="43" fillId="0" borderId="30" xfId="0" applyNumberFormat="1" applyFont="1" applyFill="1" applyBorder="1" applyAlignment="1">
      <alignment horizontal="right" wrapText="1" indent="1"/>
    </xf>
    <xf numFmtId="0" fontId="16" fillId="0" borderId="51" xfId="0" applyFont="1" applyFill="1" applyBorder="1" applyAlignment="1">
      <alignment horizontal="center" vertical="center"/>
    </xf>
    <xf numFmtId="10" fontId="15" fillId="12" borderId="1" xfId="18" applyNumberFormat="1" applyFont="1" applyBorder="1" applyAlignment="1">
      <alignment horizontal="center" vertical="center"/>
    </xf>
    <xf numFmtId="10" fontId="15" fillId="12" borderId="52" xfId="18" applyNumberFormat="1" applyFont="1" applyBorder="1" applyAlignment="1">
      <alignment horizontal="center" vertical="center"/>
    </xf>
    <xf numFmtId="0" fontId="16" fillId="0" borderId="53" xfId="0" applyFont="1" applyFill="1" applyBorder="1" applyAlignment="1">
      <alignment horizontal="center" vertical="center"/>
    </xf>
    <xf numFmtId="0" fontId="0" fillId="0" borderId="56" xfId="0" applyBorder="1" applyAlignment="1">
      <alignment horizontal="center" vertical="center"/>
    </xf>
    <xf numFmtId="0" fontId="27" fillId="19" borderId="57" xfId="17" applyFont="1" applyFill="1" applyBorder="1" applyAlignment="1">
      <alignment horizontal="center" vertical="center" wrapText="1"/>
    </xf>
    <xf numFmtId="10" fontId="15" fillId="12" borderId="57" xfId="18" applyNumberFormat="1" applyFont="1" applyBorder="1" applyAlignment="1">
      <alignment horizontal="center" vertical="center" wrapText="1"/>
    </xf>
    <xf numFmtId="10" fontId="15" fillId="12" borderId="58" xfId="18" applyNumberFormat="1" applyFont="1" applyBorder="1" applyAlignment="1">
      <alignment horizontal="center" vertical="center" wrapText="1"/>
    </xf>
    <xf numFmtId="0" fontId="0" fillId="0" borderId="51" xfId="0" applyBorder="1" applyAlignment="1">
      <alignment horizontal="center" vertical="center"/>
    </xf>
    <xf numFmtId="0" fontId="27" fillId="19" borderId="1" xfId="17" applyFont="1" applyFill="1" applyBorder="1" applyAlignment="1">
      <alignment horizontal="center" vertical="center" wrapText="1"/>
    </xf>
    <xf numFmtId="10" fontId="44" fillId="12" borderId="1" xfId="18" applyNumberFormat="1" applyFont="1" applyBorder="1" applyAlignment="1">
      <alignment horizontal="center" vertical="center"/>
    </xf>
    <xf numFmtId="10" fontId="44" fillId="12" borderId="52" xfId="18" applyNumberFormat="1" applyFont="1" applyBorder="1" applyAlignment="1">
      <alignment horizontal="center" vertical="center"/>
    </xf>
    <xf numFmtId="10" fontId="44" fillId="12" borderId="54" xfId="18" applyNumberFormat="1" applyFont="1" applyBorder="1" applyAlignment="1">
      <alignment horizontal="center" vertical="center"/>
    </xf>
    <xf numFmtId="10" fontId="44" fillId="12" borderId="55" xfId="18" applyNumberFormat="1" applyFont="1" applyBorder="1" applyAlignment="1">
      <alignment horizontal="center" vertical="center"/>
    </xf>
    <xf numFmtId="4" fontId="16" fillId="0" borderId="46" xfId="0" applyNumberFormat="1" applyFont="1" applyFill="1" applyBorder="1" applyAlignment="1">
      <alignment horizontal="center" vertical="center"/>
    </xf>
    <xf numFmtId="4" fontId="16" fillId="0" borderId="47" xfId="0" applyNumberFormat="1" applyFont="1" applyFill="1" applyBorder="1" applyAlignment="1">
      <alignment horizontal="center" vertical="center"/>
    </xf>
    <xf numFmtId="0" fontId="0" fillId="0" borderId="65" xfId="0" applyBorder="1">
      <alignment vertical="center"/>
    </xf>
    <xf numFmtId="0" fontId="0" fillId="0" borderId="0" xfId="0" applyBorder="1" applyAlignment="1">
      <alignment horizontal="center" vertical="center"/>
    </xf>
    <xf numFmtId="0" fontId="0" fillId="0" borderId="66" xfId="0" applyBorder="1">
      <alignment vertical="center"/>
    </xf>
    <xf numFmtId="49" fontId="0" fillId="0" borderId="0" xfId="0" applyNumberFormat="1" applyBorder="1" applyAlignment="1"/>
    <xf numFmtId="49" fontId="0" fillId="0" borderId="0" xfId="0" applyNumberFormat="1" applyBorder="1" applyAlignment="1">
      <alignment horizontal="right"/>
    </xf>
    <xf numFmtId="4" fontId="0" fillId="0" borderId="65" xfId="0" applyNumberFormat="1" applyBorder="1">
      <alignment vertical="center"/>
    </xf>
    <xf numFmtId="49" fontId="0" fillId="0" borderId="0" xfId="0" applyNumberFormat="1" applyBorder="1" applyAlignment="1">
      <alignment horizontal="right" vertical="center"/>
    </xf>
    <xf numFmtId="49" fontId="0" fillId="0" borderId="0" xfId="0" applyNumberFormat="1" applyBorder="1">
      <alignment vertical="center"/>
    </xf>
    <xf numFmtId="0" fontId="16" fillId="0" borderId="0" xfId="0" applyFont="1" applyBorder="1" applyAlignment="1">
      <alignment horizontal="center" vertical="center"/>
    </xf>
    <xf numFmtId="0" fontId="0" fillId="0" borderId="0" xfId="0" applyBorder="1" applyAlignment="1">
      <alignment vertical="center" wrapText="1"/>
    </xf>
    <xf numFmtId="0" fontId="0" fillId="0" borderId="62" xfId="0" applyBorder="1">
      <alignment vertical="center"/>
    </xf>
    <xf numFmtId="0" fontId="0" fillId="0" borderId="63" xfId="0" applyBorder="1">
      <alignment vertical="center"/>
    </xf>
    <xf numFmtId="0" fontId="0" fillId="0" borderId="63" xfId="0" applyBorder="1" applyAlignment="1">
      <alignment horizontal="center" vertical="center"/>
    </xf>
    <xf numFmtId="0" fontId="0" fillId="0" borderId="63" xfId="0" applyBorder="1" applyAlignment="1">
      <alignment vertical="center" wrapText="1"/>
    </xf>
    <xf numFmtId="0" fontId="0" fillId="0" borderId="64" xfId="0" applyBorder="1">
      <alignment vertical="center"/>
    </xf>
    <xf numFmtId="38" fontId="30" fillId="0" borderId="68" xfId="0" applyNumberFormat="1" applyFont="1" applyBorder="1" applyAlignment="1">
      <alignment horizontal="right" vertical="center" wrapText="1"/>
    </xf>
    <xf numFmtId="4" fontId="30" fillId="0" borderId="68" xfId="0" applyNumberFormat="1" applyFont="1" applyBorder="1" applyAlignment="1">
      <alignment horizontal="right" vertical="center"/>
    </xf>
    <xf numFmtId="4" fontId="30" fillId="0" borderId="69" xfId="0" applyNumberFormat="1" applyFont="1" applyBorder="1" applyAlignment="1">
      <alignment horizontal="right" vertical="center"/>
    </xf>
    <xf numFmtId="38" fontId="30" fillId="0" borderId="70" xfId="0" applyNumberFormat="1" applyFont="1" applyBorder="1" applyAlignment="1">
      <alignment horizontal="right" vertical="center" wrapText="1"/>
    </xf>
    <xf numFmtId="4" fontId="30" fillId="0" borderId="70" xfId="0" applyNumberFormat="1" applyFont="1" applyBorder="1" applyAlignment="1">
      <alignment horizontal="right" vertical="center"/>
    </xf>
    <xf numFmtId="4" fontId="30" fillId="0" borderId="71" xfId="0" applyNumberFormat="1" applyFont="1" applyBorder="1" applyAlignment="1">
      <alignment horizontal="right" vertical="center"/>
    </xf>
    <xf numFmtId="38" fontId="29" fillId="0" borderId="13" xfId="0" applyNumberFormat="1" applyFont="1" applyFill="1" applyBorder="1" applyAlignment="1">
      <alignment horizontal="right" vertical="center" wrapText="1"/>
    </xf>
    <xf numFmtId="4" fontId="42" fillId="0" borderId="13" xfId="0" applyNumberFormat="1" applyFont="1" applyFill="1" applyBorder="1" applyAlignment="1">
      <alignment horizontal="right" vertical="center"/>
    </xf>
    <xf numFmtId="4" fontId="42" fillId="0" borderId="31" xfId="0" applyNumberFormat="1" applyFont="1" applyFill="1" applyBorder="1" applyAlignment="1">
      <alignment horizontal="right" vertical="center"/>
    </xf>
    <xf numFmtId="4" fontId="29" fillId="0" borderId="24" xfId="11" applyNumberFormat="1" applyFont="1" applyFill="1" applyBorder="1" applyAlignment="1">
      <alignment horizontal="right" vertical="center"/>
    </xf>
    <xf numFmtId="166" fontId="29" fillId="15" borderId="34" xfId="20" applyFont="1" applyBorder="1" applyAlignment="1">
      <alignment horizontal="right" vertical="center" wrapText="1"/>
    </xf>
    <xf numFmtId="4" fontId="42" fillId="15" borderId="34" xfId="20" applyNumberFormat="1" applyFont="1" applyBorder="1">
      <alignment vertical="center"/>
    </xf>
    <xf numFmtId="4" fontId="42" fillId="15" borderId="35" xfId="20" applyNumberFormat="1" applyFont="1" applyBorder="1">
      <alignment vertical="center"/>
    </xf>
    <xf numFmtId="38" fontId="29" fillId="0" borderId="73" xfId="0" applyNumberFormat="1" applyFont="1" applyBorder="1" applyAlignment="1">
      <alignment horizontal="right" vertical="center" wrapText="1"/>
    </xf>
    <xf numFmtId="4" fontId="29" fillId="0" borderId="73" xfId="0" applyNumberFormat="1" applyFont="1" applyBorder="1" applyAlignment="1">
      <alignment horizontal="right" vertical="center"/>
    </xf>
    <xf numFmtId="4" fontId="29" fillId="0" borderId="74" xfId="0" applyNumberFormat="1" applyFont="1" applyBorder="1" applyAlignment="1">
      <alignment horizontal="right" vertical="center"/>
    </xf>
    <xf numFmtId="0" fontId="0" fillId="0" borderId="51" xfId="0" applyNumberFormat="1" applyFill="1" applyBorder="1">
      <alignment vertical="center"/>
    </xf>
    <xf numFmtId="0" fontId="45" fillId="0" borderId="26" xfId="0" applyFont="1" applyBorder="1" applyAlignment="1">
      <alignment horizontal="center" vertical="center"/>
    </xf>
    <xf numFmtId="0" fontId="45" fillId="0" borderId="27" xfId="0" applyFont="1" applyBorder="1" applyAlignment="1">
      <alignment horizontal="center" vertical="center"/>
    </xf>
    <xf numFmtId="0" fontId="45" fillId="0" borderId="28" xfId="0" applyFont="1" applyBorder="1" applyAlignment="1">
      <alignment horizontal="center" vertical="center"/>
    </xf>
    <xf numFmtId="0" fontId="45" fillId="0" borderId="76" xfId="0" applyFont="1" applyBorder="1" applyAlignment="1">
      <alignment horizontal="center" vertical="center"/>
    </xf>
    <xf numFmtId="0" fontId="45" fillId="0" borderId="75" xfId="0" applyFont="1" applyBorder="1" applyAlignment="1">
      <alignment horizontal="center" vertical="center"/>
    </xf>
    <xf numFmtId="0" fontId="45" fillId="0" borderId="77" xfId="0" applyFont="1" applyBorder="1" applyAlignment="1">
      <alignment horizontal="center" vertical="center"/>
    </xf>
    <xf numFmtId="0" fontId="41" fillId="0" borderId="1" xfId="0" applyNumberFormat="1" applyFont="1" applyFill="1" applyBorder="1" applyAlignment="1">
      <alignment horizontal="center" vertical="center"/>
    </xf>
    <xf numFmtId="0" fontId="41" fillId="0" borderId="52" xfId="0" applyNumberFormat="1" applyFont="1" applyFill="1" applyBorder="1" applyAlignment="1">
      <alignment horizontal="center" vertical="center"/>
    </xf>
    <xf numFmtId="4" fontId="41" fillId="0" borderId="54" xfId="0" applyNumberFormat="1" applyFont="1" applyBorder="1" applyAlignment="1">
      <alignment horizontal="center" vertical="center"/>
    </xf>
    <xf numFmtId="4" fontId="41" fillId="0" borderId="55" xfId="0" applyNumberFormat="1" applyFont="1" applyBorder="1" applyAlignment="1">
      <alignment horizontal="center" vertical="center"/>
    </xf>
    <xf numFmtId="0" fontId="27" fillId="24" borderId="1" xfId="17" applyFont="1" applyFill="1" applyBorder="1" applyAlignment="1">
      <alignment horizontal="center" vertical="center" wrapText="1"/>
    </xf>
    <xf numFmtId="0" fontId="27" fillId="24" borderId="54" xfId="17" applyFont="1" applyFill="1" applyBorder="1" applyAlignment="1">
      <alignment horizontal="center" wrapText="1"/>
    </xf>
    <xf numFmtId="4" fontId="40" fillId="0" borderId="41" xfId="0" applyNumberFormat="1" applyFont="1" applyBorder="1" applyAlignment="1">
      <alignment horizontal="center" vertical="center"/>
    </xf>
    <xf numFmtId="0" fontId="40" fillId="0" borderId="45" xfId="0" applyFont="1" applyBorder="1" applyAlignment="1">
      <alignment horizontal="center" vertical="center"/>
    </xf>
    <xf numFmtId="0" fontId="40" fillId="0" borderId="78" xfId="0" applyFont="1" applyBorder="1" applyAlignment="1">
      <alignment horizontal="center" vertical="center"/>
    </xf>
    <xf numFmtId="0" fontId="40" fillId="0" borderId="0" xfId="0" applyFont="1" applyBorder="1">
      <alignment vertical="center"/>
    </xf>
    <xf numFmtId="0" fontId="46" fillId="0" borderId="59" xfId="0" applyFont="1" applyBorder="1" applyAlignment="1">
      <alignment horizontal="center" vertical="center"/>
    </xf>
    <xf numFmtId="0" fontId="46" fillId="0" borderId="60" xfId="0" applyFont="1" applyBorder="1" applyAlignment="1">
      <alignment horizontal="center" vertical="center"/>
    </xf>
    <xf numFmtId="0" fontId="46" fillId="0" borderId="61" xfId="0" applyFont="1" applyBorder="1" applyAlignment="1">
      <alignment horizontal="center" vertical="center"/>
    </xf>
    <xf numFmtId="0" fontId="46" fillId="0" borderId="62" xfId="0" applyFont="1" applyBorder="1" applyAlignment="1">
      <alignment horizontal="center" vertical="center"/>
    </xf>
    <xf numFmtId="0" fontId="46" fillId="0" borderId="63" xfId="0" applyFont="1" applyBorder="1" applyAlignment="1">
      <alignment horizontal="center" vertical="center"/>
    </xf>
    <xf numFmtId="0" fontId="46" fillId="0" borderId="64" xfId="0" applyFont="1" applyBorder="1" applyAlignment="1">
      <alignment horizontal="center" vertical="center"/>
    </xf>
    <xf numFmtId="0" fontId="47" fillId="9" borderId="48" xfId="12" applyFont="1" applyBorder="1" applyAlignment="1">
      <alignment horizontal="right" vertical="center" wrapText="1"/>
    </xf>
    <xf numFmtId="0" fontId="47" fillId="9" borderId="18" xfId="12" applyFont="1" applyBorder="1" applyAlignment="1">
      <alignment horizontal="right" vertical="center" wrapText="1"/>
    </xf>
    <xf numFmtId="0" fontId="47" fillId="9" borderId="19" xfId="12" applyFont="1" applyBorder="1" applyAlignment="1">
      <alignment horizontal="right" vertical="center" wrapText="1"/>
    </xf>
    <xf numFmtId="4" fontId="28" fillId="23" borderId="15" xfId="9" applyNumberFormat="1" applyFont="1" applyFill="1" applyBorder="1" applyAlignment="1" applyProtection="1">
      <alignment horizontal="center" vertical="center" wrapText="1"/>
      <protection locked="0"/>
    </xf>
    <xf numFmtId="4" fontId="28" fillId="23" borderId="14" xfId="9" applyNumberFormat="1" applyFont="1" applyFill="1" applyBorder="1" applyAlignment="1" applyProtection="1">
      <alignment horizontal="center" vertical="center" wrapText="1"/>
      <protection locked="0"/>
    </xf>
    <xf numFmtId="4" fontId="29" fillId="0" borderId="32" xfId="11" applyNumberFormat="1" applyFont="1" applyFill="1" applyBorder="1" applyAlignment="1">
      <alignment horizontal="right" vertical="center"/>
    </xf>
    <xf numFmtId="38" fontId="29" fillId="0" borderId="24" xfId="11" applyNumberFormat="1" applyFont="1" applyFill="1" applyBorder="1" applyAlignment="1">
      <alignment horizontal="right" vertical="center" wrapText="1"/>
    </xf>
    <xf numFmtId="4" fontId="27" fillId="20" borderId="53" xfId="0" applyNumberFormat="1" applyFont="1" applyFill="1" applyBorder="1">
      <alignment vertical="center"/>
    </xf>
    <xf numFmtId="38" fontId="29" fillId="0" borderId="72" xfId="0" applyNumberFormat="1" applyFont="1" applyBorder="1" applyAlignment="1">
      <alignment horizontal="right" vertical="center" wrapText="1"/>
    </xf>
    <xf numFmtId="4" fontId="29" fillId="0" borderId="72" xfId="0" applyNumberFormat="1" applyFont="1" applyBorder="1" applyAlignment="1">
      <alignment horizontal="right" vertical="center"/>
    </xf>
    <xf numFmtId="4" fontId="29" fillId="0" borderId="67" xfId="0" applyNumberFormat="1" applyFont="1" applyBorder="1" applyAlignment="1">
      <alignment horizontal="right" vertical="center"/>
    </xf>
  </cellXfs>
  <cellStyles count="24">
    <cellStyle name="20% - Έμφαση1" xfId="13" builtinId="30" customBuiltin="1"/>
    <cellStyle name="20% - Έμφαση4" xfId="18" builtinId="42" customBuiltin="1"/>
    <cellStyle name="40% - Έμφαση1" xfId="14" builtinId="31" customBuiltin="1"/>
    <cellStyle name="60% - Έμφαση2" xfId="16" builtinId="36" customBuiltin="1"/>
    <cellStyle name="Month" xfId="19"/>
    <cellStyle name="Normal 4" xfId="1"/>
    <cellStyle name="Normal_Aποζημίωση Απόλυσης 2" xfId="2"/>
    <cellStyle name="Normal_ypolfmy" xfId="3"/>
    <cellStyle name="Style 1" xfId="21"/>
    <cellStyle name="Style 2" xfId="22"/>
    <cellStyle name="Totals" xfId="20"/>
    <cellStyle name="Έμφαση1" xfId="12" builtinId="29"/>
    <cellStyle name="Έμφαση2" xfId="15" builtinId="33" customBuiltin="1"/>
    <cellStyle name="Έμφαση4" xfId="17" builtinId="41"/>
    <cellStyle name="Επεξηγηματικό κείμενο" xfId="10" builtinId="53"/>
    <cellStyle name="Επικεφαλίδα 1" xfId="6" builtinId="16" customBuiltin="1"/>
    <cellStyle name="Επικεφαλίδα 2" xfId="7" builtinId="17" customBuiltin="1"/>
    <cellStyle name="Επικεφαλίδα 3" xfId="8" builtinId="18" customBuiltin="1"/>
    <cellStyle name="Κανονικό" xfId="0" builtinId="0" customBuiltin="1"/>
    <cellStyle name="Κανονικό 2" xfId="4"/>
    <cellStyle name="Ουδέτερο" xfId="23" builtinId="28"/>
    <cellStyle name="Σημείωση" xfId="9" builtinId="10"/>
    <cellStyle name="Σύνολο" xfId="11" builtinId="25" customBuiltin="1"/>
    <cellStyle name="Τίτλος" xfId="5" builtinId="15" customBuiltin="1"/>
  </cellStyles>
  <dxfs count="16">
    <dxf>
      <font>
        <color theme="0"/>
      </font>
      <fill>
        <patternFill>
          <bgColor rgb="FFFF0000"/>
        </patternFill>
      </fill>
    </dxf>
    <dxf>
      <fill>
        <patternFill>
          <bgColor rgb="FF92D050"/>
        </patternFill>
      </fill>
    </dxf>
    <dxf>
      <fill>
        <patternFill patternType="none">
          <bgColor auto="1"/>
        </patternFill>
      </fill>
      <border>
        <vertical/>
        <horizontal/>
      </border>
    </dxf>
    <dxf>
      <font>
        <color theme="1" tint="0.14996795556505021"/>
      </font>
    </dxf>
    <dxf>
      <border diagonalUp="0" diagonalDown="0">
        <left style="dotted">
          <color theme="0" tint="-0.34998626667073579"/>
        </left>
        <right style="dotted">
          <color theme="0" tint="-0.34998626667073579"/>
        </right>
        <top style="thin">
          <color theme="0" tint="-0.34998626667073579"/>
        </top>
        <bottom style="dotted">
          <color theme="0" tint="-0.34998626667073579"/>
        </bottom>
        <vertical/>
        <horizontal/>
      </border>
    </dxf>
    <dxf>
      <font>
        <b val="0"/>
        <i val="0"/>
        <color theme="1" tint="0.34998626667073579"/>
      </font>
    </dxf>
    <dxf>
      <font>
        <b val="0"/>
        <i val="0"/>
        <color theme="1" tint="0.14996795556505021"/>
      </font>
      <fill>
        <patternFill patternType="solid">
          <bgColor theme="4" tint="0.79998168889431442"/>
        </patternFill>
      </fill>
      <border>
        <top/>
        <bottom style="medium">
          <color theme="4" tint="0.39994506668294322"/>
        </bottom>
      </border>
    </dxf>
    <dxf>
      <font>
        <b val="0"/>
        <i val="0"/>
        <color theme="1" tint="0.14996795556505021"/>
      </font>
    </dxf>
    <dxf>
      <font>
        <color theme="1" tint="0.499984740745262"/>
      </font>
      <border>
        <left/>
        <right style="thin">
          <color theme="0" tint="-0.34998626667073579"/>
        </right>
        <top style="thin">
          <color theme="0" tint="-0.34998626667073579"/>
        </top>
        <bottom style="thin">
          <color theme="0" tint="-0.34998626667073579"/>
        </bottom>
        <vertical style="dotted">
          <color theme="0" tint="-0.34998626667073579"/>
        </vertical>
        <horizontal style="thin">
          <color theme="0" tint="-0.34998626667073579"/>
        </horizontal>
      </border>
    </dxf>
    <dxf>
      <fill>
        <patternFill patternType="none">
          <bgColor auto="1"/>
        </patternFill>
      </fill>
      <border>
        <vertical/>
        <horizontal/>
      </border>
    </dxf>
    <dxf>
      <font>
        <color theme="1" tint="0.14996795556505021"/>
      </font>
    </dxf>
    <dxf>
      <border diagonalUp="0" diagonalDown="0">
        <left style="dotted">
          <color theme="0" tint="-0.34998626667073579"/>
        </left>
        <right style="dotted">
          <color theme="0" tint="-0.34998626667073579"/>
        </right>
        <top style="thin">
          <color theme="0" tint="-0.34998626667073579"/>
        </top>
        <bottom style="dotted">
          <color theme="0" tint="-0.34998626667073579"/>
        </bottom>
        <vertical/>
        <horizontal/>
      </border>
    </dxf>
    <dxf>
      <font>
        <b val="0"/>
        <i val="0"/>
        <color theme="1" tint="0.34998626667073579"/>
      </font>
    </dxf>
    <dxf>
      <font>
        <b val="0"/>
        <i val="0"/>
        <color theme="1" tint="0.14996795556505021"/>
      </font>
      <fill>
        <patternFill patternType="solid">
          <bgColor theme="4" tint="0.79998168889431442"/>
        </patternFill>
      </fill>
      <border>
        <top/>
        <bottom style="medium">
          <color theme="4" tint="0.39994506668294322"/>
        </bottom>
      </border>
    </dxf>
    <dxf>
      <font>
        <b val="0"/>
        <i val="0"/>
        <color theme="1" tint="0.14996795556505021"/>
      </font>
    </dxf>
    <dxf>
      <font>
        <color theme="1" tint="0.499984740745262"/>
      </font>
      <border>
        <left/>
        <right style="thin">
          <color theme="0" tint="-0.34998626667073579"/>
        </right>
        <top style="thin">
          <color theme="0" tint="-0.34998626667073579"/>
        </top>
        <bottom style="thin">
          <color theme="0" tint="-0.34998626667073579"/>
        </bottom>
        <vertical style="dotted">
          <color theme="0" tint="-0.34998626667073579"/>
        </vertical>
        <horizontal style="thin">
          <color theme="0" tint="-0.34998626667073579"/>
        </horizontal>
      </border>
    </dxf>
  </dxfs>
  <tableStyles count="2" defaultTableStyle="TableStyleMedium2" defaultPivotStyle="PivotStyleLight16">
    <tableStyle name="Cash Receipts" pivot="0" count="7">
      <tableStyleElement type="wholeTable" dxfId="15"/>
      <tableStyleElement type="headerRow" dxfId="14"/>
      <tableStyleElement type="totalRow" dxfId="13"/>
      <tableStyleElement type="firstColumn" dxfId="12"/>
      <tableStyleElement type="lastColumn" dxfId="11"/>
      <tableStyleElement type="firstTotalCell" dxfId="10"/>
      <tableStyleElement type="lastTotalCell" dxfId="9"/>
    </tableStyle>
    <tableStyle name="Cash Receipts 2" pivot="0" count="7">
      <tableStyleElement type="wholeTable" dxfId="8"/>
      <tableStyleElement type="headerRow" dxfId="7"/>
      <tableStyleElement type="totalRow" dxfId="6"/>
      <tableStyleElement type="firstColumn" dxfId="5"/>
      <tableStyleElement type="lastColumn" dxfId="4"/>
      <tableStyleElement type="firstTotalCell" dxfId="3"/>
      <tableStyleElement type="lastTotalCell" dxfId="2"/>
    </tableStyle>
  </tableStyles>
  <colors>
    <mruColors>
      <color rgb="FFDDDDDD"/>
      <color rgb="FFFFFFCC"/>
      <color rgb="FF1B9BB5"/>
      <color rgb="FFA47D00"/>
      <color rgb="FFAD4B0F"/>
      <color rgb="FFF8F8F8"/>
      <color rgb="FFBCE5F2"/>
      <color rgb="FFF6BC94"/>
      <color rgb="FFA2D8E3"/>
      <color rgb="FF65D2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l-GR"/>
              <a:t>Εισόδημα προ εισφορών </a:t>
            </a:r>
            <a:endParaRPr lang="en-US"/>
          </a:p>
        </c:rich>
      </c:tx>
      <c:layout/>
      <c:overlay val="0"/>
      <c:spPr>
        <a:noFill/>
        <a:ln>
          <a:noFill/>
        </a:ln>
        <a:effectLst/>
      </c:spPr>
    </c:title>
    <c:autoTitleDeleted val="0"/>
    <c:plotArea>
      <c:layout/>
      <c:barChart>
        <c:barDir val="col"/>
        <c:grouping val="clustered"/>
        <c:varyColors val="0"/>
        <c:ser>
          <c:idx val="0"/>
          <c:order val="0"/>
          <c:tx>
            <c:strRef>
              <c:f>Υπολογισμοί!$O$25</c:f>
              <c:strCache>
                <c:ptCount val="1"/>
                <c:pt idx="0">
                  <c:v>36.000,00</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layout>
                <c:manualLayout>
                  <c:x val="-2.5462668816039986E-17"/>
                  <c:y val="-6.1469087197433651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457-4894-A381-A73024951779}"/>
                </c:ext>
              </c:extLst>
            </c:dLbl>
            <c:dLbl>
              <c:idx val="1"/>
              <c:layout>
                <c:manualLayout>
                  <c:x val="0"/>
                  <c:y val="-8.9853316830379882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173-43C2-B221-C55EE215E59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l-GR"/>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numRef>
              <c:f>Υπολογισμοί!$P$24:$V$24</c:f>
              <c:numCache>
                <c:formatCode>General</c:formatCode>
                <c:ptCount val="7"/>
                <c:pt idx="0">
                  <c:v>2016</c:v>
                </c:pt>
                <c:pt idx="1">
                  <c:v>2017</c:v>
                </c:pt>
                <c:pt idx="2">
                  <c:v>2018</c:v>
                </c:pt>
                <c:pt idx="3">
                  <c:v>2019</c:v>
                </c:pt>
                <c:pt idx="4">
                  <c:v>2020</c:v>
                </c:pt>
                <c:pt idx="5">
                  <c:v>2021</c:v>
                </c:pt>
                <c:pt idx="6">
                  <c:v>2022</c:v>
                </c:pt>
              </c:numCache>
            </c:numRef>
          </c:cat>
          <c:val>
            <c:numRef>
              <c:f>Υπολογισμοί!$P$25:$V$25</c:f>
              <c:numCache>
                <c:formatCode>#,##0.00</c:formatCode>
                <c:ptCount val="7"/>
                <c:pt idx="0">
                  <c:v>509.61344000000099</c:v>
                </c:pt>
                <c:pt idx="1">
                  <c:v>-1454.5299799999993</c:v>
                </c:pt>
                <c:pt idx="2">
                  <c:v>-925.19514330999664</c:v>
                </c:pt>
                <c:pt idx="3">
                  <c:v>-1067.8508367979557</c:v>
                </c:pt>
                <c:pt idx="4">
                  <c:v>-1029.4095724029467</c:v>
                </c:pt>
                <c:pt idx="5">
                  <c:v>-1039.7682881574037</c:v>
                </c:pt>
                <c:pt idx="6">
                  <c:v>-1036.967484261575</c:v>
                </c:pt>
              </c:numCache>
            </c:numRef>
          </c:val>
          <c:extLst xmlns:c16r2="http://schemas.microsoft.com/office/drawing/2015/06/chart">
            <c:ext xmlns:c16="http://schemas.microsoft.com/office/drawing/2014/chart" uri="{C3380CC4-5D6E-409C-BE32-E72D297353CC}">
              <c16:uniqueId val="{00000001-F457-4894-A381-A73024951779}"/>
            </c:ext>
          </c:extLst>
        </c:ser>
        <c:dLbls>
          <c:dLblPos val="inEnd"/>
          <c:showLegendKey val="0"/>
          <c:showVal val="1"/>
          <c:showCatName val="0"/>
          <c:showSerName val="0"/>
          <c:showPercent val="0"/>
          <c:showBubbleSize val="0"/>
        </c:dLbls>
        <c:gapWidth val="100"/>
        <c:overlap val="-24"/>
        <c:axId val="97833344"/>
        <c:axId val="97836032"/>
      </c:barChart>
      <c:catAx>
        <c:axId val="97833344"/>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crossAx val="97836032"/>
        <c:crosses val="autoZero"/>
        <c:auto val="0"/>
        <c:lblAlgn val="ctr"/>
        <c:lblOffset val="100"/>
        <c:noMultiLvlLbl val="0"/>
      </c:catAx>
      <c:valAx>
        <c:axId val="97836032"/>
        <c:scaling>
          <c:orientation val="minMax"/>
        </c:scaling>
        <c:delete val="0"/>
        <c:axPos val="l"/>
        <c:majorGridlines>
          <c:spPr>
            <a:ln w="9525" cap="flat" cmpd="sng" algn="ctr">
              <a:solidFill>
                <a:schemeClr val="lt1">
                  <a:lumMod val="95000"/>
                  <a:alpha val="1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crossAx val="97833344"/>
        <c:crosses val="autoZero"/>
        <c:crossBetween val="between"/>
      </c:valAx>
      <c:spPr>
        <a:noFill/>
        <a:ln>
          <a:noFill/>
        </a:ln>
        <a:effectLst/>
      </c:spPr>
    </c:plotArea>
    <c:legend>
      <c:legendPos val="b"/>
      <c:layout>
        <c:manualLayout>
          <c:xMode val="edge"/>
          <c:yMode val="edge"/>
          <c:x val="0.77189765226308604"/>
          <c:y val="3.6578400672888853E-2"/>
          <c:w val="0.2049646030778256"/>
          <c:h val="0.12445768603248918"/>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lt1">
                  <a:lumMod val="85000"/>
                </a:schemeClr>
              </a:solidFill>
              <a:latin typeface="+mn-lt"/>
              <a:ea typeface="+mn-ea"/>
              <a:cs typeface="+mn-cs"/>
            </a:defRPr>
          </a:pPr>
          <a:endParaRPr lang="el-G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l-G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228600</xdr:colOff>
      <xdr:row>2</xdr:row>
      <xdr:rowOff>209549</xdr:rowOff>
    </xdr:from>
    <xdr:to>
      <xdr:col>22</xdr:col>
      <xdr:colOff>9525</xdr:colOff>
      <xdr:row>20</xdr:row>
      <xdr:rowOff>161924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13</xdr:col>
      <xdr:colOff>81395</xdr:colOff>
      <xdr:row>31</xdr:row>
      <xdr:rowOff>378909</xdr:rowOff>
    </xdr:from>
    <xdr:ext cx="5590313" cy="1287965"/>
    <xdr:sp macro="" textlink="">
      <xdr:nvSpPr>
        <xdr:cNvPr id="3" name="Rectangle 2"/>
        <xdr:cNvSpPr/>
      </xdr:nvSpPr>
      <xdr:spPr>
        <a:xfrm>
          <a:off x="8244320" y="7284534"/>
          <a:ext cx="5590313" cy="1287965"/>
        </a:xfrm>
        <a:prstGeom prst="rect">
          <a:avLst/>
        </a:prstGeom>
        <a:noFill/>
        <a:effectLst>
          <a:outerShdw blurRad="50800" dist="38100" dir="13500000" algn="br" rotWithShape="0">
            <a:schemeClr val="accent1">
              <a:lumMod val="75000"/>
              <a:alpha val="40000"/>
            </a:schemeClr>
          </a:outerShdw>
        </a:effectLst>
      </xdr:spPr>
      <xdr:txBody>
        <a:bodyPr wrap="none" lIns="91440" tIns="45720" rIns="91440" bIns="45720">
          <a:noAutofit/>
        </a:bodyPr>
        <a:lstStyle/>
        <a:p>
          <a:pPr algn="ctr"/>
          <a:r>
            <a:rPr lang="en-US" sz="8800" b="0" cap="none" spc="0" baseline="0">
              <a:ln w="0"/>
              <a:solidFill>
                <a:schemeClr val="accent1"/>
              </a:solidFill>
              <a:effectLst>
                <a:outerShdw blurRad="38100" dist="25400" dir="5400000" algn="ctr" rotWithShape="0">
                  <a:srgbClr val="6E747A">
                    <a:alpha val="43000"/>
                  </a:srgbClr>
                </a:outerShdw>
              </a:effectLst>
              <a:latin typeface="Space Age" panose="02000500020000020004" pitchFamily="2" charset="0"/>
            </a:rPr>
            <a:t>taxheaven</a:t>
          </a:r>
        </a:p>
      </xdr:txBody>
    </xdr:sp>
    <xdr:clientData/>
  </xdr:oneCellAnchor>
  <xdr:oneCellAnchor>
    <xdr:from>
      <xdr:col>13</xdr:col>
      <xdr:colOff>161924</xdr:colOff>
      <xdr:row>25</xdr:row>
      <xdr:rowOff>155073</xdr:rowOff>
    </xdr:from>
    <xdr:ext cx="1323975" cy="1892802"/>
    <xdr:sp macro="" textlink="">
      <xdr:nvSpPr>
        <xdr:cNvPr id="2" name="Ορθογώνιο 1"/>
        <xdr:cNvSpPr/>
      </xdr:nvSpPr>
      <xdr:spPr>
        <a:xfrm>
          <a:off x="8324849" y="6098673"/>
          <a:ext cx="1323975" cy="1892802"/>
        </a:xfrm>
        <a:prstGeom prst="rect">
          <a:avLst/>
        </a:prstGeom>
        <a:noFill/>
      </xdr:spPr>
      <xdr:txBody>
        <a:bodyPr wrap="square" lIns="91440" tIns="45720" rIns="91440" bIns="45720">
          <a:noAutofit/>
        </a:bodyPr>
        <a:lstStyle/>
        <a:p>
          <a:pPr algn="ctr"/>
          <a:r>
            <a:rPr lang="el-G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Αθροιστική</a:t>
          </a:r>
          <a:r>
            <a:rPr lang="el-GR" sz="1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a:t>
          </a:r>
          <a:br>
            <a:rPr lang="el-GR" sz="1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br>
          <a:r>
            <a:rPr lang="el-GR" sz="1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ε</a:t>
          </a:r>
          <a:r>
            <a:rPr lang="el-G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πιβάρυνση    από</a:t>
          </a:r>
          <a:r>
            <a:rPr lang="el-GR" sz="1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το 2017       μέχρι και                 το 2022</a:t>
          </a:r>
          <a:endParaRPr lang="el-G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5:H42"/>
  <sheetViews>
    <sheetView workbookViewId="0">
      <selection activeCell="D55" sqref="D55"/>
    </sheetView>
  </sheetViews>
  <sheetFormatPr defaultRowHeight="12.75" x14ac:dyDescent="0.2"/>
  <cols>
    <col min="4" max="4" width="38.42578125" customWidth="1"/>
  </cols>
  <sheetData>
    <row r="5" spans="3:6" x14ac:dyDescent="0.2">
      <c r="C5" s="32" t="s">
        <v>20</v>
      </c>
      <c r="D5" s="33" t="s">
        <v>21</v>
      </c>
    </row>
    <row r="6" spans="3:6" x14ac:dyDescent="0.2">
      <c r="C6" s="33">
        <v>1</v>
      </c>
      <c r="D6" s="32" t="s">
        <v>22</v>
      </c>
      <c r="E6" s="40">
        <v>210.71</v>
      </c>
      <c r="F6" s="40">
        <f t="shared" ref="F6:F19" si="0">E6*12</f>
        <v>2528.52</v>
      </c>
    </row>
    <row r="7" spans="3:6" x14ac:dyDescent="0.2">
      <c r="C7" s="33">
        <v>2</v>
      </c>
      <c r="D7" s="32" t="s">
        <v>23</v>
      </c>
      <c r="E7" s="40">
        <v>257.33999999999997</v>
      </c>
      <c r="F7" s="40">
        <f t="shared" si="0"/>
        <v>3088.08</v>
      </c>
    </row>
    <row r="8" spans="3:6" x14ac:dyDescent="0.2">
      <c r="C8" s="33">
        <v>3</v>
      </c>
      <c r="D8" s="32" t="s">
        <v>24</v>
      </c>
      <c r="E8" s="40">
        <v>307.19</v>
      </c>
      <c r="F8" s="40">
        <f t="shared" si="0"/>
        <v>3686.2799999999997</v>
      </c>
    </row>
    <row r="9" spans="3:6" x14ac:dyDescent="0.2">
      <c r="C9" s="33">
        <v>4</v>
      </c>
      <c r="D9" s="32" t="s">
        <v>25</v>
      </c>
      <c r="E9" s="40">
        <v>335.37</v>
      </c>
      <c r="F9" s="40">
        <f t="shared" si="0"/>
        <v>4024.44</v>
      </c>
    </row>
    <row r="10" spans="3:6" x14ac:dyDescent="0.2">
      <c r="C10" s="33">
        <v>5</v>
      </c>
      <c r="D10" s="32" t="s">
        <v>26</v>
      </c>
      <c r="E10" s="40">
        <v>386.84</v>
      </c>
      <c r="F10" s="40">
        <f t="shared" si="0"/>
        <v>4642.08</v>
      </c>
    </row>
    <row r="11" spans="3:6" x14ac:dyDescent="0.2">
      <c r="C11" s="33">
        <v>6</v>
      </c>
      <c r="D11" s="32" t="s">
        <v>27</v>
      </c>
      <c r="E11" s="40">
        <v>436.3</v>
      </c>
      <c r="F11" s="40">
        <f t="shared" si="0"/>
        <v>5235.6000000000004</v>
      </c>
    </row>
    <row r="12" spans="3:6" x14ac:dyDescent="0.2">
      <c r="C12" s="33">
        <v>7</v>
      </c>
      <c r="D12" s="32" t="s">
        <v>28</v>
      </c>
      <c r="E12" s="40">
        <v>466.54</v>
      </c>
      <c r="F12" s="40">
        <f t="shared" si="0"/>
        <v>5598.4800000000005</v>
      </c>
    </row>
    <row r="13" spans="3:6" x14ac:dyDescent="0.2">
      <c r="C13" s="33">
        <v>8</v>
      </c>
      <c r="D13" s="32" t="s">
        <v>29</v>
      </c>
      <c r="E13" s="40">
        <v>504.47</v>
      </c>
      <c r="F13" s="40">
        <f t="shared" si="0"/>
        <v>6053.64</v>
      </c>
    </row>
    <row r="14" spans="3:6" x14ac:dyDescent="0.2">
      <c r="C14" s="33">
        <v>9</v>
      </c>
      <c r="D14" s="32" t="s">
        <v>30</v>
      </c>
      <c r="E14" s="40">
        <v>538.54999999999995</v>
      </c>
      <c r="F14" s="40">
        <f t="shared" si="0"/>
        <v>6462.5999999999995</v>
      </c>
    </row>
    <row r="15" spans="3:6" x14ac:dyDescent="0.2">
      <c r="C15" s="33">
        <v>10</v>
      </c>
      <c r="D15" s="32" t="s">
        <v>31</v>
      </c>
      <c r="E15" s="40">
        <v>572.66</v>
      </c>
      <c r="F15" s="40">
        <f t="shared" si="0"/>
        <v>6871.92</v>
      </c>
    </row>
    <row r="16" spans="3:6" x14ac:dyDescent="0.2">
      <c r="C16" s="33">
        <v>11</v>
      </c>
      <c r="D16" s="32" t="s">
        <v>32</v>
      </c>
      <c r="E16" s="40">
        <v>606.74</v>
      </c>
      <c r="F16" s="40">
        <f t="shared" si="0"/>
        <v>7280.88</v>
      </c>
    </row>
    <row r="17" spans="3:8" x14ac:dyDescent="0.2">
      <c r="C17" s="33">
        <v>12</v>
      </c>
      <c r="D17" s="32" t="s">
        <v>33</v>
      </c>
      <c r="E17" s="40">
        <v>640.82000000000005</v>
      </c>
      <c r="F17" s="40">
        <f t="shared" si="0"/>
        <v>7689.84</v>
      </c>
    </row>
    <row r="18" spans="3:8" x14ac:dyDescent="0.2">
      <c r="C18" s="33">
        <v>13</v>
      </c>
      <c r="D18" s="32" t="s">
        <v>34</v>
      </c>
      <c r="E18" s="40">
        <v>674.92</v>
      </c>
      <c r="F18" s="40">
        <f t="shared" si="0"/>
        <v>8099.0399999999991</v>
      </c>
    </row>
    <row r="19" spans="3:8" x14ac:dyDescent="0.2">
      <c r="C19" s="33">
        <v>14</v>
      </c>
      <c r="D19" s="32" t="s">
        <v>35</v>
      </c>
      <c r="E19" s="40">
        <v>709.01</v>
      </c>
      <c r="F19" s="40">
        <f t="shared" si="0"/>
        <v>8508.119999999999</v>
      </c>
    </row>
    <row r="24" spans="3:8" x14ac:dyDescent="0.2">
      <c r="C24" s="102" t="s">
        <v>36</v>
      </c>
      <c r="D24" s="102"/>
      <c r="E24" s="102"/>
      <c r="F24" s="102"/>
    </row>
    <row r="25" spans="3:8" x14ac:dyDescent="0.2">
      <c r="C25" s="102" t="s">
        <v>37</v>
      </c>
      <c r="D25" s="102"/>
      <c r="E25" s="102"/>
      <c r="F25" s="102"/>
    </row>
    <row r="26" spans="3:8" x14ac:dyDescent="0.2">
      <c r="C26" s="34" t="s">
        <v>38</v>
      </c>
      <c r="D26" s="35" t="s">
        <v>39</v>
      </c>
      <c r="E26" s="35" t="s">
        <v>40</v>
      </c>
      <c r="F26" s="34">
        <v>245.2</v>
      </c>
      <c r="G26" s="29">
        <f t="shared" ref="G26:G32" si="1">F26*12</f>
        <v>2942.3999999999996</v>
      </c>
      <c r="H26">
        <f>G26+180</f>
        <v>3122.3999999999996</v>
      </c>
    </row>
    <row r="27" spans="3:8" x14ac:dyDescent="0.2">
      <c r="C27" s="34" t="s">
        <v>41</v>
      </c>
      <c r="D27" s="35" t="s">
        <v>42</v>
      </c>
      <c r="E27" s="35" t="s">
        <v>40</v>
      </c>
      <c r="F27" s="34">
        <v>278.93</v>
      </c>
      <c r="G27" s="29">
        <f t="shared" si="1"/>
        <v>3347.16</v>
      </c>
    </row>
    <row r="28" spans="3:8" x14ac:dyDescent="0.2">
      <c r="C28" s="34" t="s">
        <v>43</v>
      </c>
      <c r="D28" s="35" t="s">
        <v>44</v>
      </c>
      <c r="E28" s="35" t="s">
        <v>40</v>
      </c>
      <c r="F28" s="34">
        <v>314.99</v>
      </c>
      <c r="G28" s="29">
        <f t="shared" si="1"/>
        <v>3779.88</v>
      </c>
    </row>
    <row r="29" spans="3:8" x14ac:dyDescent="0.2">
      <c r="C29" s="36" t="s">
        <v>45</v>
      </c>
      <c r="D29" s="37" t="s">
        <v>46</v>
      </c>
      <c r="E29" s="37" t="s">
        <v>40</v>
      </c>
      <c r="F29" s="36">
        <v>335.37</v>
      </c>
      <c r="G29" s="38">
        <f t="shared" si="1"/>
        <v>4024.44</v>
      </c>
    </row>
    <row r="30" spans="3:8" x14ac:dyDescent="0.2">
      <c r="C30" s="34" t="s">
        <v>47</v>
      </c>
      <c r="D30" s="35" t="s">
        <v>48</v>
      </c>
      <c r="E30" s="35" t="s">
        <v>40</v>
      </c>
      <c r="F30" s="34">
        <v>372.6</v>
      </c>
      <c r="G30" s="29">
        <f t="shared" si="1"/>
        <v>4471.2000000000007</v>
      </c>
    </row>
    <row r="31" spans="3:8" x14ac:dyDescent="0.2">
      <c r="C31" s="34" t="s">
        <v>49</v>
      </c>
      <c r="D31" s="35" t="s">
        <v>50</v>
      </c>
      <c r="E31" s="35" t="s">
        <v>40</v>
      </c>
      <c r="F31" s="34">
        <v>408.38</v>
      </c>
      <c r="G31" s="29">
        <f t="shared" si="1"/>
        <v>4900.5599999999995</v>
      </c>
    </row>
    <row r="32" spans="3:8" x14ac:dyDescent="0.2">
      <c r="C32" s="34" t="s">
        <v>51</v>
      </c>
      <c r="D32" s="35" t="s">
        <v>52</v>
      </c>
      <c r="E32" s="35" t="s">
        <v>40</v>
      </c>
      <c r="F32" s="34">
        <v>430.25</v>
      </c>
      <c r="G32" s="29">
        <f t="shared" si="1"/>
        <v>5163</v>
      </c>
    </row>
    <row r="33" spans="3:7" x14ac:dyDescent="0.2">
      <c r="C33" s="34" t="s">
        <v>53</v>
      </c>
      <c r="D33" s="35" t="s">
        <v>54</v>
      </c>
      <c r="E33" s="35" t="s">
        <v>40</v>
      </c>
      <c r="F33" s="34">
        <v>457.69</v>
      </c>
      <c r="G33" s="29">
        <f>F33*12</f>
        <v>5492.28</v>
      </c>
    </row>
    <row r="34" spans="3:7" x14ac:dyDescent="0.2">
      <c r="C34" s="34" t="s">
        <v>55</v>
      </c>
      <c r="D34" s="35" t="s">
        <v>56</v>
      </c>
      <c r="E34" s="35" t="s">
        <v>40</v>
      </c>
      <c r="F34" s="34">
        <v>482.34</v>
      </c>
      <c r="G34" s="29">
        <f t="shared" ref="G34:G37" si="2">F34*12</f>
        <v>5788.08</v>
      </c>
    </row>
    <row r="35" spans="3:7" x14ac:dyDescent="0.2">
      <c r="C35" s="34" t="s">
        <v>57</v>
      </c>
      <c r="D35" s="35" t="s">
        <v>58</v>
      </c>
      <c r="E35" s="35" t="s">
        <v>40</v>
      </c>
      <c r="F35" s="34">
        <v>507.01</v>
      </c>
      <c r="G35" s="29">
        <f t="shared" si="2"/>
        <v>6084.12</v>
      </c>
    </row>
    <row r="36" spans="3:7" x14ac:dyDescent="0.2">
      <c r="C36" s="34" t="s">
        <v>59</v>
      </c>
      <c r="D36" s="35" t="s">
        <v>60</v>
      </c>
      <c r="E36" s="35" t="s">
        <v>40</v>
      </c>
      <c r="F36" s="34">
        <v>531.66</v>
      </c>
      <c r="G36" s="29">
        <f t="shared" si="2"/>
        <v>6379.92</v>
      </c>
    </row>
    <row r="37" spans="3:7" x14ac:dyDescent="0.2">
      <c r="C37" s="34" t="s">
        <v>61</v>
      </c>
      <c r="D37" s="35" t="s">
        <v>62</v>
      </c>
      <c r="E37" s="35" t="s">
        <v>40</v>
      </c>
      <c r="F37" s="34">
        <v>556.30999999999995</v>
      </c>
      <c r="G37" s="29">
        <f t="shared" si="2"/>
        <v>6675.7199999999993</v>
      </c>
    </row>
    <row r="38" spans="3:7" x14ac:dyDescent="0.2">
      <c r="C38" s="34" t="s">
        <v>63</v>
      </c>
      <c r="D38" s="35" t="s">
        <v>64</v>
      </c>
      <c r="E38" s="35" t="s">
        <v>40</v>
      </c>
      <c r="F38" s="34">
        <v>580.98</v>
      </c>
      <c r="G38" s="29">
        <f>F38*12</f>
        <v>6971.76</v>
      </c>
    </row>
    <row r="39" spans="3:7" x14ac:dyDescent="0.2">
      <c r="C39" s="34" t="s">
        <v>65</v>
      </c>
      <c r="D39" s="35" t="s">
        <v>66</v>
      </c>
      <c r="E39" s="35" t="s">
        <v>40</v>
      </c>
      <c r="F39" s="34">
        <v>605.64</v>
      </c>
      <c r="G39" s="29">
        <f>F39*12</f>
        <v>7267.68</v>
      </c>
    </row>
    <row r="41" spans="3:7" x14ac:dyDescent="0.2">
      <c r="C41" s="103" t="s">
        <v>67</v>
      </c>
      <c r="D41" s="103"/>
      <c r="E41" s="103"/>
      <c r="F41" s="103"/>
    </row>
    <row r="42" spans="3:7" x14ac:dyDescent="0.2">
      <c r="D42" s="44" t="s">
        <v>69</v>
      </c>
    </row>
  </sheetData>
  <mergeCells count="3">
    <mergeCell ref="C24:F24"/>
    <mergeCell ref="C25:F25"/>
    <mergeCell ref="C41:F4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3:T44"/>
  <sheetViews>
    <sheetView workbookViewId="0">
      <selection activeCell="O14" sqref="O14"/>
    </sheetView>
  </sheetViews>
  <sheetFormatPr defaultRowHeight="12.75" x14ac:dyDescent="0.2"/>
  <cols>
    <col min="3" max="3" width="12.42578125" customWidth="1"/>
    <col min="4" max="5" width="10.7109375" customWidth="1"/>
    <col min="9" max="9" width="18.28515625" customWidth="1"/>
    <col min="10" max="10" width="13.7109375" customWidth="1"/>
    <col min="11" max="11" width="12.42578125" customWidth="1"/>
    <col min="13" max="13" width="9.140625" customWidth="1"/>
  </cols>
  <sheetData>
    <row r="3" spans="3:20" ht="13.5" thickBot="1" x14ac:dyDescent="0.25"/>
    <row r="4" spans="3:20" ht="15.75" thickBot="1" x14ac:dyDescent="0.25">
      <c r="C4" s="105" t="s">
        <v>7</v>
      </c>
      <c r="D4" s="105" t="s">
        <v>8</v>
      </c>
      <c r="E4" s="105" t="s">
        <v>9</v>
      </c>
      <c r="F4" s="108" t="s">
        <v>10</v>
      </c>
      <c r="G4" s="109"/>
      <c r="I4" s="104" t="s">
        <v>1</v>
      </c>
      <c r="J4" s="104"/>
      <c r="K4" s="104"/>
    </row>
    <row r="5" spans="3:20" ht="30.75" thickBot="1" x14ac:dyDescent="0.25">
      <c r="C5" s="106"/>
      <c r="D5" s="106"/>
      <c r="E5" s="106"/>
      <c r="F5" s="17" t="s">
        <v>11</v>
      </c>
      <c r="G5" s="17" t="s">
        <v>12</v>
      </c>
      <c r="I5" s="6" t="s">
        <v>2</v>
      </c>
      <c r="J5" s="6" t="s">
        <v>3</v>
      </c>
      <c r="K5" s="7"/>
    </row>
    <row r="6" spans="3:20" ht="15.75" thickBot="1" x14ac:dyDescent="0.25">
      <c r="C6" s="107"/>
      <c r="D6" s="107"/>
      <c r="E6" s="107"/>
      <c r="F6" s="17" t="s">
        <v>13</v>
      </c>
      <c r="G6" s="17" t="s">
        <v>13</v>
      </c>
      <c r="I6">
        <v>0</v>
      </c>
      <c r="J6">
        <v>22</v>
      </c>
      <c r="K6">
        <v>0</v>
      </c>
    </row>
    <row r="7" spans="3:20" ht="15.75" thickBot="1" x14ac:dyDescent="0.25">
      <c r="C7" s="18">
        <v>25000</v>
      </c>
      <c r="D7" s="20">
        <v>0.22</v>
      </c>
      <c r="E7" s="18">
        <v>5500</v>
      </c>
      <c r="F7" s="18">
        <v>25000</v>
      </c>
      <c r="G7" s="18">
        <v>5500</v>
      </c>
      <c r="I7" s="10">
        <v>25000</v>
      </c>
      <c r="J7" s="10">
        <v>32</v>
      </c>
      <c r="K7" s="10">
        <v>5500</v>
      </c>
      <c r="T7" s="40"/>
    </row>
    <row r="8" spans="3:20" ht="15.75" thickBot="1" x14ac:dyDescent="0.25">
      <c r="C8" s="18">
        <v>17000</v>
      </c>
      <c r="D8" s="20">
        <v>0.32</v>
      </c>
      <c r="E8" s="18">
        <v>5440</v>
      </c>
      <c r="F8" s="18">
        <v>42000</v>
      </c>
      <c r="G8" s="18">
        <v>10940</v>
      </c>
      <c r="I8">
        <v>42000</v>
      </c>
      <c r="J8">
        <v>42</v>
      </c>
      <c r="K8">
        <v>10940</v>
      </c>
    </row>
    <row r="9" spans="3:20" ht="15.75" thickBot="1" x14ac:dyDescent="0.25">
      <c r="C9" s="18" t="s">
        <v>14</v>
      </c>
      <c r="D9" s="20">
        <v>0.42</v>
      </c>
      <c r="E9" s="18"/>
      <c r="F9" s="18"/>
      <c r="G9" s="18"/>
    </row>
    <row r="13" spans="3:20" ht="13.5" thickBot="1" x14ac:dyDescent="0.25"/>
    <row r="14" spans="3:20" ht="15.75" thickBot="1" x14ac:dyDescent="0.25">
      <c r="C14" s="105" t="s">
        <v>7</v>
      </c>
      <c r="D14" s="105" t="s">
        <v>8</v>
      </c>
      <c r="E14" s="105" t="s">
        <v>9</v>
      </c>
      <c r="F14" s="108" t="s">
        <v>10</v>
      </c>
      <c r="G14" s="109"/>
    </row>
    <row r="15" spans="3:20" ht="30.75" thickBot="1" x14ac:dyDescent="0.25">
      <c r="C15" s="106"/>
      <c r="D15" s="106"/>
      <c r="E15" s="106"/>
      <c r="F15" s="17" t="s">
        <v>11</v>
      </c>
      <c r="G15" s="17" t="s">
        <v>12</v>
      </c>
    </row>
    <row r="16" spans="3:20" ht="15.75" thickBot="1" x14ac:dyDescent="0.25">
      <c r="C16" s="107"/>
      <c r="D16" s="107"/>
      <c r="E16" s="107"/>
      <c r="F16" s="17" t="s">
        <v>13</v>
      </c>
      <c r="G16" s="17" t="s">
        <v>13</v>
      </c>
    </row>
    <row r="17" spans="3:11" ht="15.75" thickBot="1" x14ac:dyDescent="0.25">
      <c r="C17" s="18">
        <v>20000</v>
      </c>
      <c r="D17" s="20">
        <v>0.22</v>
      </c>
      <c r="E17" s="18">
        <f>D17*C17</f>
        <v>4400</v>
      </c>
      <c r="F17" s="18">
        <v>20000</v>
      </c>
      <c r="G17" s="18">
        <f>E17</f>
        <v>4400</v>
      </c>
      <c r="I17">
        <v>0</v>
      </c>
      <c r="J17" s="20">
        <v>0.22</v>
      </c>
      <c r="K17">
        <v>0</v>
      </c>
    </row>
    <row r="18" spans="3:11" ht="15.75" thickBot="1" x14ac:dyDescent="0.25">
      <c r="C18" s="18">
        <v>10000</v>
      </c>
      <c r="D18" s="20">
        <v>0.28999999999999998</v>
      </c>
      <c r="E18" s="18">
        <f>D18*C18</f>
        <v>2900</v>
      </c>
      <c r="F18" s="18">
        <f>C18+C17</f>
        <v>30000</v>
      </c>
      <c r="G18" s="18">
        <f>E18+G17</f>
        <v>7300</v>
      </c>
      <c r="I18" s="18">
        <v>20000</v>
      </c>
      <c r="J18" s="20">
        <v>0.28999999999999998</v>
      </c>
      <c r="K18">
        <v>4400</v>
      </c>
    </row>
    <row r="19" spans="3:11" ht="15.75" thickBot="1" x14ac:dyDescent="0.25">
      <c r="C19" s="18">
        <v>10000</v>
      </c>
      <c r="D19" s="20">
        <v>0.37</v>
      </c>
      <c r="E19" s="18">
        <f>D19*C19</f>
        <v>3700</v>
      </c>
      <c r="F19" s="18">
        <f>C19+C18+C17</f>
        <v>40000</v>
      </c>
      <c r="G19" s="18">
        <f>G18+E19</f>
        <v>11000</v>
      </c>
      <c r="I19" s="18">
        <v>30000</v>
      </c>
      <c r="J19" s="20">
        <v>0.37</v>
      </c>
      <c r="K19">
        <v>7300</v>
      </c>
    </row>
    <row r="20" spans="3:11" ht="15.75" thickBot="1" x14ac:dyDescent="0.25">
      <c r="C20" s="18" t="s">
        <v>14</v>
      </c>
      <c r="D20" s="20">
        <v>0.45</v>
      </c>
      <c r="E20" s="18"/>
      <c r="F20" s="18"/>
      <c r="G20" s="18"/>
      <c r="I20" s="18">
        <v>40000</v>
      </c>
      <c r="J20" s="20">
        <v>0.45</v>
      </c>
      <c r="K20">
        <v>11000</v>
      </c>
    </row>
    <row r="25" spans="3:11" ht="13.5" thickBot="1" x14ac:dyDescent="0.25"/>
    <row r="26" spans="3:11" ht="15.75" thickBot="1" x14ac:dyDescent="0.25">
      <c r="C26" s="105" t="s">
        <v>7</v>
      </c>
      <c r="D26" s="105" t="s">
        <v>8</v>
      </c>
      <c r="E26" s="105" t="s">
        <v>9</v>
      </c>
      <c r="F26" s="108" t="s">
        <v>10</v>
      </c>
      <c r="G26" s="109"/>
    </row>
    <row r="27" spans="3:11" ht="30.75" thickBot="1" x14ac:dyDescent="0.25">
      <c r="C27" s="106"/>
      <c r="D27" s="106"/>
      <c r="E27" s="106"/>
      <c r="F27" s="17" t="s">
        <v>11</v>
      </c>
      <c r="G27" s="17" t="s">
        <v>12</v>
      </c>
    </row>
    <row r="28" spans="3:11" ht="15.75" thickBot="1" x14ac:dyDescent="0.25">
      <c r="C28" s="107"/>
      <c r="D28" s="107"/>
      <c r="E28" s="107"/>
      <c r="F28" s="17" t="s">
        <v>13</v>
      </c>
      <c r="G28" s="17" t="s">
        <v>13</v>
      </c>
    </row>
    <row r="29" spans="3:11" ht="15.75" thickBot="1" x14ac:dyDescent="0.25">
      <c r="C29" s="18">
        <v>12000</v>
      </c>
      <c r="D29" s="21">
        <v>0</v>
      </c>
      <c r="E29" s="18">
        <f t="shared" ref="E29:E34" si="0">D29*C29</f>
        <v>0</v>
      </c>
      <c r="F29" s="18">
        <f>C29</f>
        <v>12000</v>
      </c>
      <c r="G29" s="18">
        <f>E29</f>
        <v>0</v>
      </c>
      <c r="I29">
        <v>0</v>
      </c>
      <c r="J29" s="22">
        <v>0</v>
      </c>
      <c r="K29">
        <v>0</v>
      </c>
    </row>
    <row r="30" spans="3:11" ht="15.75" thickBot="1" x14ac:dyDescent="0.25">
      <c r="C30" s="18">
        <v>8000</v>
      </c>
      <c r="D30" s="21">
        <v>2.1999999999999999E-2</v>
      </c>
      <c r="E30" s="18">
        <f t="shared" si="0"/>
        <v>176</v>
      </c>
      <c r="F30" s="18">
        <f>C30+F29</f>
        <v>20000</v>
      </c>
      <c r="G30" s="18">
        <f>E30+G29</f>
        <v>176</v>
      </c>
      <c r="I30" s="1">
        <v>12000</v>
      </c>
      <c r="J30" s="22">
        <v>2.2000000000000002</v>
      </c>
      <c r="K30">
        <v>0</v>
      </c>
    </row>
    <row r="31" spans="3:11" ht="15.75" thickBot="1" x14ac:dyDescent="0.25">
      <c r="C31" s="18">
        <v>10000</v>
      </c>
      <c r="D31" s="21">
        <v>0.05</v>
      </c>
      <c r="E31" s="18">
        <f t="shared" si="0"/>
        <v>500</v>
      </c>
      <c r="F31" s="18">
        <f>C31+F30</f>
        <v>30000</v>
      </c>
      <c r="G31" s="18">
        <f>E31+G30</f>
        <v>676</v>
      </c>
      <c r="I31" s="18">
        <v>20000</v>
      </c>
      <c r="J31" s="22">
        <v>5</v>
      </c>
      <c r="K31">
        <v>176</v>
      </c>
    </row>
    <row r="32" spans="3:11" ht="15.75" thickBot="1" x14ac:dyDescent="0.25">
      <c r="C32" s="18">
        <v>10000</v>
      </c>
      <c r="D32" s="21">
        <v>6.5000000000000002E-2</v>
      </c>
      <c r="E32" s="18">
        <f t="shared" si="0"/>
        <v>650</v>
      </c>
      <c r="F32" s="18">
        <f>C32+F31</f>
        <v>40000</v>
      </c>
      <c r="G32" s="18">
        <f>E32+G31</f>
        <v>1326</v>
      </c>
      <c r="I32" s="18">
        <v>30000</v>
      </c>
      <c r="J32" s="22">
        <v>6.5</v>
      </c>
      <c r="K32">
        <v>676</v>
      </c>
    </row>
    <row r="33" spans="3:11" ht="15.75" thickBot="1" x14ac:dyDescent="0.25">
      <c r="C33" s="18">
        <v>25000</v>
      </c>
      <c r="D33" s="21">
        <v>7.4999999999999997E-2</v>
      </c>
      <c r="E33" s="18">
        <f t="shared" si="0"/>
        <v>1875</v>
      </c>
      <c r="F33" s="18">
        <f>C33+F32</f>
        <v>65000</v>
      </c>
      <c r="G33" s="18">
        <f>E33+G32</f>
        <v>3201</v>
      </c>
      <c r="I33" s="18">
        <v>40000</v>
      </c>
      <c r="J33" s="23">
        <v>7.5</v>
      </c>
      <c r="K33">
        <v>1326</v>
      </c>
    </row>
    <row r="34" spans="3:11" ht="15.75" thickBot="1" x14ac:dyDescent="0.25">
      <c r="C34" s="18">
        <v>155000</v>
      </c>
      <c r="D34" s="21">
        <v>0.09</v>
      </c>
      <c r="E34" s="18">
        <f t="shared" si="0"/>
        <v>13950</v>
      </c>
      <c r="F34" s="18">
        <f>C34+F33</f>
        <v>220000</v>
      </c>
      <c r="G34" s="18">
        <f>E34+G33</f>
        <v>17151</v>
      </c>
      <c r="I34" s="1">
        <v>65000</v>
      </c>
      <c r="J34" s="23">
        <v>9</v>
      </c>
      <c r="K34">
        <v>3201</v>
      </c>
    </row>
    <row r="35" spans="3:11" ht="15.75" thickBot="1" x14ac:dyDescent="0.25">
      <c r="C35" s="18" t="s">
        <v>15</v>
      </c>
      <c r="D35" s="21">
        <v>0.1</v>
      </c>
      <c r="E35" s="18"/>
      <c r="F35" s="18"/>
      <c r="G35" s="18"/>
      <c r="I35" s="1">
        <v>220000</v>
      </c>
      <c r="J35" s="23">
        <v>10</v>
      </c>
      <c r="K35">
        <v>17151</v>
      </c>
    </row>
    <row r="42" spans="3:11" x14ac:dyDescent="0.2">
      <c r="E42" s="28"/>
    </row>
    <row r="43" spans="3:11" x14ac:dyDescent="0.2">
      <c r="E43" s="19"/>
    </row>
    <row r="44" spans="3:11" x14ac:dyDescent="0.2">
      <c r="E44" s="28"/>
    </row>
  </sheetData>
  <mergeCells count="13">
    <mergeCell ref="C26:C28"/>
    <mergeCell ref="D26:D28"/>
    <mergeCell ref="E26:E28"/>
    <mergeCell ref="F26:G26"/>
    <mergeCell ref="C4:C6"/>
    <mergeCell ref="D4:D6"/>
    <mergeCell ref="E4:E6"/>
    <mergeCell ref="F4:G4"/>
    <mergeCell ref="I4:K4"/>
    <mergeCell ref="C14:C16"/>
    <mergeCell ref="D14:D16"/>
    <mergeCell ref="E14:E16"/>
    <mergeCell ref="F14:G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2:O21"/>
  <sheetViews>
    <sheetView workbookViewId="0">
      <selection activeCell="H38" sqref="H38"/>
    </sheetView>
  </sheetViews>
  <sheetFormatPr defaultColWidth="11" defaultRowHeight="12.75" x14ac:dyDescent="0.2"/>
  <cols>
    <col min="1" max="1" width="2.7109375" style="15" customWidth="1"/>
    <col min="2" max="2" width="2.85546875" style="15" customWidth="1"/>
    <col min="3" max="3" width="11" style="2" customWidth="1"/>
    <col min="4" max="4" width="17.85546875" style="2" customWidth="1"/>
    <col min="5" max="5" width="19.42578125" style="16" customWidth="1"/>
    <col min="6" max="6" width="20.42578125" style="15" customWidth="1"/>
    <col min="7" max="9" width="14.85546875" style="5" customWidth="1"/>
    <col min="10" max="10" width="14.85546875" style="27" customWidth="1"/>
    <col min="11" max="12" width="14.85546875" style="5" customWidth="1"/>
    <col min="13" max="13" width="2.28515625" style="5" customWidth="1"/>
    <col min="14" max="14" width="14.85546875" style="5" customWidth="1"/>
    <col min="15" max="15" width="19.28515625" style="5" customWidth="1"/>
    <col min="16" max="253" width="9.140625" style="15" customWidth="1"/>
    <col min="254" max="254" width="2.7109375" style="15" customWidth="1"/>
    <col min="255" max="255" width="2.85546875" style="15" customWidth="1"/>
    <col min="256" max="16384" width="11" style="15"/>
  </cols>
  <sheetData>
    <row r="2" spans="3:15" s="5" customFormat="1" x14ac:dyDescent="0.2">
      <c r="C2" s="2"/>
      <c r="D2" s="104" t="s">
        <v>1</v>
      </c>
      <c r="E2" s="104"/>
      <c r="F2" s="104"/>
      <c r="G2" s="3"/>
      <c r="H2" s="3"/>
      <c r="I2" s="4"/>
      <c r="J2" s="24"/>
    </row>
    <row r="3" spans="3:15" s="5" customFormat="1" x14ac:dyDescent="0.2">
      <c r="C3" s="2"/>
      <c r="D3" s="66" t="s">
        <v>2</v>
      </c>
      <c r="E3" s="66" t="s">
        <v>3</v>
      </c>
      <c r="F3" s="67"/>
      <c r="G3" s="8"/>
      <c r="H3" s="8"/>
      <c r="I3" s="9"/>
      <c r="J3" s="25"/>
    </row>
    <row r="4" spans="3:15" s="5" customFormat="1" ht="15" x14ac:dyDescent="0.2">
      <c r="C4" s="2"/>
      <c r="D4" s="31">
        <v>0</v>
      </c>
      <c r="E4" s="45">
        <v>0</v>
      </c>
      <c r="F4" s="31">
        <v>0</v>
      </c>
      <c r="G4" s="4"/>
      <c r="H4" s="4"/>
      <c r="I4" s="9"/>
      <c r="J4" s="25"/>
    </row>
    <row r="5" spans="3:15" s="5" customFormat="1" ht="15" x14ac:dyDescent="0.2">
      <c r="C5" s="2"/>
      <c r="D5" s="46">
        <v>12000</v>
      </c>
      <c r="E5" s="45">
        <v>2.2000000000000002</v>
      </c>
      <c r="F5" s="31">
        <v>0</v>
      </c>
      <c r="G5" s="4"/>
      <c r="H5" s="4"/>
      <c r="I5" s="9"/>
      <c r="J5" s="25"/>
    </row>
    <row r="6" spans="3:15" s="5" customFormat="1" ht="15" x14ac:dyDescent="0.2">
      <c r="C6" s="2"/>
      <c r="D6" s="46">
        <v>20000</v>
      </c>
      <c r="E6" s="45">
        <v>5</v>
      </c>
      <c r="F6" s="31">
        <v>176</v>
      </c>
      <c r="G6" s="9"/>
      <c r="H6" s="9"/>
      <c r="I6" s="9"/>
      <c r="J6" s="25"/>
    </row>
    <row r="7" spans="3:15" s="5" customFormat="1" ht="15" x14ac:dyDescent="0.2">
      <c r="C7" s="2"/>
      <c r="D7" s="46">
        <v>30000</v>
      </c>
      <c r="E7" s="45">
        <v>6.5</v>
      </c>
      <c r="F7" s="31">
        <v>676</v>
      </c>
      <c r="G7" s="9"/>
      <c r="H7" s="9"/>
      <c r="I7" s="9"/>
      <c r="J7" s="25"/>
    </row>
    <row r="8" spans="3:15" s="5" customFormat="1" ht="15" x14ac:dyDescent="0.2">
      <c r="C8" s="2"/>
      <c r="D8" s="46">
        <v>40000</v>
      </c>
      <c r="E8" s="45">
        <v>7.5</v>
      </c>
      <c r="F8" s="31">
        <v>1326</v>
      </c>
      <c r="G8" s="9"/>
      <c r="H8" s="9"/>
      <c r="I8" s="9"/>
      <c r="J8" s="25"/>
    </row>
    <row r="9" spans="3:15" s="5" customFormat="1" ht="15" x14ac:dyDescent="0.2">
      <c r="C9" s="2"/>
      <c r="D9" s="46">
        <v>65000</v>
      </c>
      <c r="E9" s="45">
        <v>9</v>
      </c>
      <c r="F9" s="31">
        <v>3201</v>
      </c>
      <c r="G9" s="9"/>
      <c r="H9" s="9"/>
      <c r="I9" s="9"/>
      <c r="J9" s="25"/>
    </row>
    <row r="10" spans="3:15" s="5" customFormat="1" ht="15" x14ac:dyDescent="0.2">
      <c r="C10" s="2"/>
      <c r="D10" s="46">
        <v>220000</v>
      </c>
      <c r="E10" s="45">
        <v>10</v>
      </c>
      <c r="F10" s="31">
        <v>17151</v>
      </c>
      <c r="G10" s="9"/>
      <c r="H10" s="9"/>
      <c r="I10" s="9"/>
      <c r="J10" s="25"/>
    </row>
    <row r="11" spans="3:15" s="5" customFormat="1" ht="15" x14ac:dyDescent="0.25">
      <c r="C11" s="69"/>
      <c r="D11" s="11"/>
      <c r="E11" s="11"/>
      <c r="F11" s="68"/>
      <c r="G11" s="12"/>
      <c r="H11" s="13"/>
      <c r="I11" s="13"/>
      <c r="J11" s="26"/>
      <c r="K11" s="14"/>
      <c r="L11" s="14"/>
    </row>
    <row r="12" spans="3:15" s="5" customFormat="1" ht="15" x14ac:dyDescent="0.25">
      <c r="C12" s="13"/>
      <c r="D12" s="2"/>
      <c r="E12" s="2"/>
      <c r="F12" s="15"/>
      <c r="J12" s="27"/>
    </row>
    <row r="13" spans="3:15" s="5" customFormat="1" x14ac:dyDescent="0.2">
      <c r="C13" s="69"/>
      <c r="D13" s="2"/>
      <c r="E13" s="16"/>
      <c r="F13" s="15"/>
      <c r="J13" s="27"/>
    </row>
    <row r="14" spans="3:15" s="5" customFormat="1" x14ac:dyDescent="0.2">
      <c r="C14" s="49"/>
      <c r="D14" s="50"/>
      <c r="E14" s="70" t="s">
        <v>4</v>
      </c>
      <c r="F14" s="94"/>
      <c r="G14" s="95"/>
      <c r="H14" s="95"/>
      <c r="I14" s="95"/>
      <c r="J14" s="96"/>
      <c r="K14" s="95"/>
      <c r="L14" s="95"/>
      <c r="M14" s="95"/>
      <c r="N14" s="97" t="s">
        <v>5</v>
      </c>
      <c r="O14" s="97" t="s">
        <v>16</v>
      </c>
    </row>
    <row r="15" spans="3:15" s="5" customFormat="1" ht="15" x14ac:dyDescent="0.25">
      <c r="C15" s="47"/>
      <c r="D15" s="47"/>
      <c r="E15" s="71">
        <f>'4172_el'!G12</f>
        <v>25975.559999999998</v>
      </c>
      <c r="F15" s="94"/>
      <c r="G15" s="62">
        <f>E15</f>
        <v>25975.559999999998</v>
      </c>
      <c r="H15" s="62">
        <f>VLOOKUP(G15,$D$4:$F$10,1)</f>
        <v>20000</v>
      </c>
      <c r="I15" s="98">
        <f>G15-H15</f>
        <v>5975.5599999999977</v>
      </c>
      <c r="J15" s="99">
        <f>VLOOKUP(G15,$D$4:$E$10,2)</f>
        <v>5</v>
      </c>
      <c r="K15" s="62">
        <f>VLOOKUP(G15,$D$4:$F$10,3)</f>
        <v>176</v>
      </c>
      <c r="L15" s="62">
        <f>ROUND((I15*J15/100)+K15,2)</f>
        <v>474.78</v>
      </c>
      <c r="M15" s="62"/>
      <c r="N15" s="62">
        <f>E15</f>
        <v>25975.559999999998</v>
      </c>
      <c r="O15" s="64">
        <f>IF(ISERROR(L15),0,L15)</f>
        <v>474.78</v>
      </c>
    </row>
    <row r="16" spans="3:15" s="5" customFormat="1" ht="15" x14ac:dyDescent="0.25">
      <c r="C16" s="47"/>
      <c r="D16" s="47"/>
      <c r="E16" s="71">
        <f>'4172_el'!G13</f>
        <v>22999.586579999999</v>
      </c>
      <c r="F16" s="94"/>
      <c r="G16" s="62">
        <f t="shared" ref="G16:G19" si="0">E16</f>
        <v>22999.586579999999</v>
      </c>
      <c r="H16" s="62">
        <f t="shared" ref="H16:H19" si="1">VLOOKUP(G16,$D$4:$F$10,1)</f>
        <v>20000</v>
      </c>
      <c r="I16" s="98">
        <f t="shared" ref="I16:I19" si="2">G16-H16</f>
        <v>2999.5865799999992</v>
      </c>
      <c r="J16" s="99">
        <f t="shared" ref="J16:J19" si="3">VLOOKUP(G16,$D$4:$E$10,2)</f>
        <v>5</v>
      </c>
      <c r="K16" s="62">
        <f t="shared" ref="K16:K19" si="4">VLOOKUP(G16,$D$4:$F$10,3)</f>
        <v>176</v>
      </c>
      <c r="L16" s="62">
        <f t="shared" ref="L16:L19" si="5">ROUND((I16*J16/100)+K16,2)</f>
        <v>325.98</v>
      </c>
      <c r="M16" s="62"/>
      <c r="N16" s="62">
        <f t="shared" ref="N16:N19" si="6">E16</f>
        <v>22999.586579999999</v>
      </c>
      <c r="O16" s="64">
        <f t="shared" ref="O16:O19" si="7">IF(ISERROR(L16),0,L16)</f>
        <v>325.98</v>
      </c>
    </row>
    <row r="17" spans="3:15" s="5" customFormat="1" ht="15" x14ac:dyDescent="0.25">
      <c r="C17" s="47"/>
      <c r="D17" s="47"/>
      <c r="E17" s="71">
        <f>'4172_el'!G14</f>
        <v>23801.611416690001</v>
      </c>
      <c r="F17" s="94"/>
      <c r="G17" s="62">
        <f t="shared" si="0"/>
        <v>23801.611416690001</v>
      </c>
      <c r="H17" s="62">
        <f t="shared" si="1"/>
        <v>20000</v>
      </c>
      <c r="I17" s="98">
        <f t="shared" si="2"/>
        <v>3801.6114166900006</v>
      </c>
      <c r="J17" s="99">
        <f t="shared" si="3"/>
        <v>5</v>
      </c>
      <c r="K17" s="62">
        <f t="shared" si="4"/>
        <v>176</v>
      </c>
      <c r="L17" s="62">
        <f t="shared" si="5"/>
        <v>366.08</v>
      </c>
      <c r="M17" s="62"/>
      <c r="N17" s="62">
        <f t="shared" si="6"/>
        <v>23801.611416690001</v>
      </c>
      <c r="O17" s="64">
        <f t="shared" si="7"/>
        <v>366.08</v>
      </c>
    </row>
    <row r="18" spans="3:15" s="5" customFormat="1" ht="15" x14ac:dyDescent="0.25">
      <c r="C18" s="47"/>
      <c r="D18" s="47"/>
      <c r="E18" s="71">
        <f>'4172_el'!G15</f>
        <v>23585.465723202044</v>
      </c>
      <c r="F18" s="94"/>
      <c r="G18" s="62">
        <f t="shared" si="0"/>
        <v>23585.465723202044</v>
      </c>
      <c r="H18" s="62">
        <f t="shared" si="1"/>
        <v>20000</v>
      </c>
      <c r="I18" s="98">
        <f t="shared" si="2"/>
        <v>3585.4657232020436</v>
      </c>
      <c r="J18" s="99">
        <f t="shared" si="3"/>
        <v>5</v>
      </c>
      <c r="K18" s="62">
        <f t="shared" si="4"/>
        <v>176</v>
      </c>
      <c r="L18" s="62">
        <f t="shared" si="5"/>
        <v>355.27</v>
      </c>
      <c r="M18" s="62"/>
      <c r="N18" s="62">
        <f t="shared" si="6"/>
        <v>23585.465723202044</v>
      </c>
      <c r="O18" s="64">
        <f t="shared" si="7"/>
        <v>355.27</v>
      </c>
    </row>
    <row r="19" spans="3:15" s="5" customFormat="1" ht="15" x14ac:dyDescent="0.25">
      <c r="C19" s="47"/>
      <c r="D19" s="47"/>
      <c r="E19" s="71">
        <f>'4172_el'!G16</f>
        <v>23643.71698759705</v>
      </c>
      <c r="F19" s="94"/>
      <c r="G19" s="62">
        <f t="shared" si="0"/>
        <v>23643.71698759705</v>
      </c>
      <c r="H19" s="62">
        <f t="shared" si="1"/>
        <v>20000</v>
      </c>
      <c r="I19" s="98">
        <f t="shared" si="2"/>
        <v>3643.7169875970503</v>
      </c>
      <c r="J19" s="99">
        <f t="shared" si="3"/>
        <v>5</v>
      </c>
      <c r="K19" s="62">
        <f t="shared" si="4"/>
        <v>176</v>
      </c>
      <c r="L19" s="62">
        <f t="shared" si="5"/>
        <v>358.19</v>
      </c>
      <c r="M19" s="62"/>
      <c r="N19" s="62">
        <f t="shared" si="6"/>
        <v>23643.71698759705</v>
      </c>
      <c r="O19" s="64">
        <f t="shared" si="7"/>
        <v>358.19</v>
      </c>
    </row>
    <row r="20" spans="3:15" ht="15" x14ac:dyDescent="0.25">
      <c r="C20" s="47"/>
      <c r="D20" s="47"/>
      <c r="E20" s="71">
        <f>'4172_el'!G17</f>
        <v>23628.018271842593</v>
      </c>
      <c r="F20" s="94"/>
      <c r="G20" s="62">
        <f t="shared" ref="G20:G21" si="8">E20</f>
        <v>23628.018271842593</v>
      </c>
      <c r="H20" s="62">
        <f t="shared" ref="H20:H21" si="9">VLOOKUP(G20,$D$4:$F$10,1)</f>
        <v>20000</v>
      </c>
      <c r="I20" s="98">
        <f t="shared" ref="I20:I21" si="10">G20-H20</f>
        <v>3628.0182718425931</v>
      </c>
      <c r="J20" s="99">
        <f t="shared" ref="J20:J21" si="11">VLOOKUP(G20,$D$4:$E$10,2)</f>
        <v>5</v>
      </c>
      <c r="K20" s="62">
        <f t="shared" ref="K20:K21" si="12">VLOOKUP(G20,$D$4:$F$10,3)</f>
        <v>176</v>
      </c>
      <c r="L20" s="62">
        <f t="shared" ref="L20:L21" si="13">ROUND((I20*J20/100)+K20,2)</f>
        <v>357.4</v>
      </c>
      <c r="M20" s="62"/>
      <c r="N20" s="62">
        <f t="shared" ref="N20:N21" si="14">E20</f>
        <v>23628.018271842593</v>
      </c>
      <c r="O20" s="64">
        <f t="shared" ref="O20:O21" si="15">IF(ISERROR(L20),0,L20)</f>
        <v>357.4</v>
      </c>
    </row>
    <row r="21" spans="3:15" ht="15" x14ac:dyDescent="0.25">
      <c r="E21" s="71">
        <f>'4172_el'!G18</f>
        <v>23632.249075738422</v>
      </c>
      <c r="F21" s="94"/>
      <c r="G21" s="62">
        <f t="shared" si="8"/>
        <v>23632.249075738422</v>
      </c>
      <c r="H21" s="62">
        <f t="shared" si="9"/>
        <v>20000</v>
      </c>
      <c r="I21" s="98">
        <f t="shared" si="10"/>
        <v>3632.2490757384221</v>
      </c>
      <c r="J21" s="99">
        <f t="shared" si="11"/>
        <v>5</v>
      </c>
      <c r="K21" s="62">
        <f t="shared" si="12"/>
        <v>176</v>
      </c>
      <c r="L21" s="62">
        <f t="shared" si="13"/>
        <v>357.61</v>
      </c>
      <c r="M21" s="62"/>
      <c r="N21" s="62">
        <f t="shared" si="14"/>
        <v>23632.249075738422</v>
      </c>
      <c r="O21" s="64">
        <f t="shared" si="15"/>
        <v>357.61</v>
      </c>
    </row>
  </sheetData>
  <mergeCells count="1">
    <mergeCell ref="D2:F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C1:V27"/>
  <sheetViews>
    <sheetView workbookViewId="0">
      <selection activeCell="C2" sqref="C2:E25"/>
    </sheetView>
  </sheetViews>
  <sheetFormatPr defaultRowHeight="12.75" x14ac:dyDescent="0.2"/>
  <cols>
    <col min="1" max="1" width="2.7109375" style="15" customWidth="1"/>
    <col min="2" max="2" width="2.85546875" style="15" customWidth="1"/>
    <col min="3" max="3" width="11" style="52" customWidth="1"/>
    <col min="4" max="4" width="17.85546875" style="2" customWidth="1"/>
    <col min="5" max="5" width="19.42578125" style="16" customWidth="1"/>
    <col min="6" max="6" width="20.42578125" style="15" customWidth="1"/>
    <col min="7" max="7" width="27.5703125" style="52" customWidth="1"/>
    <col min="8" max="8" width="14.85546875" style="52" customWidth="1"/>
    <col min="9" max="9" width="12.85546875" style="52" customWidth="1"/>
    <col min="10" max="10" width="14.85546875" style="54" customWidth="1"/>
    <col min="11" max="12" width="14.85546875" style="52" customWidth="1"/>
    <col min="13" max="13" width="1.28515625" style="52" customWidth="1"/>
    <col min="14" max="14" width="1.140625" style="52" customWidth="1"/>
    <col min="15" max="15" width="14" style="52" customWidth="1"/>
    <col min="16" max="16" width="2.140625" style="16" customWidth="1"/>
    <col min="17" max="17" width="16.5703125" style="16" customWidth="1"/>
    <col min="18" max="18" width="14.28515625" style="16" customWidth="1"/>
    <col min="19" max="19" width="10.140625" style="2" customWidth="1"/>
    <col min="20" max="16384" width="9.140625" style="15"/>
  </cols>
  <sheetData>
    <row r="1" spans="3:22" x14ac:dyDescent="0.2">
      <c r="P1" s="57"/>
      <c r="Q1" s="57"/>
    </row>
    <row r="2" spans="3:22" s="5" customFormat="1" x14ac:dyDescent="0.2">
      <c r="F2" s="52"/>
      <c r="G2" s="104" t="s">
        <v>1</v>
      </c>
      <c r="H2" s="104"/>
      <c r="I2" s="104"/>
      <c r="J2" s="58"/>
      <c r="K2" s="58"/>
      <c r="L2" s="59"/>
      <c r="M2" s="59"/>
      <c r="N2" s="52"/>
      <c r="O2" s="52"/>
      <c r="P2" s="52"/>
      <c r="Q2" s="52"/>
      <c r="R2" s="52"/>
      <c r="S2" s="54"/>
      <c r="T2" s="54"/>
      <c r="U2" s="54"/>
      <c r="V2" s="52"/>
    </row>
    <row r="3" spans="3:22" s="5" customFormat="1" x14ac:dyDescent="0.2">
      <c r="F3" s="52"/>
      <c r="G3" s="6" t="s">
        <v>2</v>
      </c>
      <c r="H3" s="6" t="s">
        <v>3</v>
      </c>
      <c r="I3" s="6"/>
      <c r="J3" s="8"/>
      <c r="K3" s="8"/>
      <c r="L3" s="60"/>
      <c r="M3" s="60"/>
      <c r="N3" s="52"/>
      <c r="O3" s="52"/>
      <c r="P3" s="52"/>
      <c r="Q3" s="52"/>
      <c r="R3" s="52"/>
      <c r="S3" s="54"/>
      <c r="T3" s="54"/>
      <c r="U3" s="54"/>
      <c r="V3" s="52"/>
    </row>
    <row r="4" spans="3:22" s="5" customFormat="1" ht="15" x14ac:dyDescent="0.25">
      <c r="F4" s="52"/>
      <c r="G4" s="92">
        <v>0</v>
      </c>
      <c r="H4" s="91">
        <v>22</v>
      </c>
      <c r="I4" s="92">
        <v>0</v>
      </c>
      <c r="J4" s="59"/>
      <c r="K4" s="59"/>
      <c r="L4" s="60"/>
      <c r="M4" s="60"/>
      <c r="N4" s="52"/>
      <c r="O4" s="52"/>
      <c r="P4" s="52"/>
      <c r="Q4" s="52"/>
      <c r="R4" s="52"/>
      <c r="S4" s="54"/>
      <c r="T4" s="54"/>
      <c r="U4" s="54"/>
      <c r="V4" s="52"/>
    </row>
    <row r="5" spans="3:22" s="5" customFormat="1" ht="15" x14ac:dyDescent="0.25">
      <c r="F5" s="52"/>
      <c r="G5" s="93">
        <v>20000</v>
      </c>
      <c r="H5" s="91">
        <v>29</v>
      </c>
      <c r="I5" s="92">
        <v>4400</v>
      </c>
      <c r="J5" s="59"/>
      <c r="K5" s="59"/>
      <c r="L5" s="60"/>
      <c r="M5" s="60"/>
      <c r="N5" s="52"/>
      <c r="O5" s="52"/>
      <c r="P5" s="52"/>
      <c r="Q5" s="52"/>
      <c r="R5" s="52"/>
      <c r="S5" s="54"/>
      <c r="T5" s="54"/>
      <c r="U5" s="54"/>
      <c r="V5" s="52"/>
    </row>
    <row r="6" spans="3:22" s="5" customFormat="1" ht="15" x14ac:dyDescent="0.25">
      <c r="F6" s="52"/>
      <c r="G6" s="93">
        <v>30000</v>
      </c>
      <c r="H6" s="91">
        <v>37</v>
      </c>
      <c r="I6" s="92">
        <v>7300</v>
      </c>
      <c r="J6" s="60"/>
      <c r="K6" s="60"/>
      <c r="L6" s="60"/>
      <c r="M6" s="60"/>
      <c r="N6" s="52"/>
      <c r="O6" s="52"/>
      <c r="P6" s="52"/>
      <c r="Q6" s="52"/>
      <c r="R6" s="52"/>
      <c r="S6" s="54"/>
      <c r="T6" s="54"/>
      <c r="U6" s="54"/>
      <c r="V6" s="52"/>
    </row>
    <row r="7" spans="3:22" s="5" customFormat="1" ht="15" x14ac:dyDescent="0.25">
      <c r="F7" s="52"/>
      <c r="G7" s="93">
        <v>40000</v>
      </c>
      <c r="H7" s="91">
        <v>45</v>
      </c>
      <c r="I7" s="92">
        <v>11000</v>
      </c>
      <c r="J7" s="60"/>
      <c r="K7" s="60"/>
      <c r="L7" s="60"/>
      <c r="M7" s="60"/>
      <c r="N7" s="52"/>
      <c r="O7" s="52"/>
      <c r="P7" s="52"/>
      <c r="Q7" s="52"/>
      <c r="R7" s="52"/>
      <c r="S7" s="54"/>
      <c r="T7" s="54"/>
      <c r="U7" s="54"/>
      <c r="V7" s="52"/>
    </row>
    <row r="8" spans="3:22" s="5" customFormat="1" ht="15" x14ac:dyDescent="0.25">
      <c r="F8" s="52"/>
      <c r="G8" s="11"/>
      <c r="H8" s="11"/>
      <c r="I8" s="11"/>
      <c r="J8" s="13"/>
      <c r="K8" s="13"/>
      <c r="L8" s="13"/>
      <c r="M8" s="13"/>
      <c r="N8" s="61"/>
      <c r="O8" s="61"/>
      <c r="P8" s="52"/>
      <c r="Q8" s="52"/>
      <c r="R8" s="52"/>
      <c r="S8" s="54"/>
      <c r="T8" s="54"/>
      <c r="U8" s="54"/>
      <c r="V8" s="52"/>
    </row>
    <row r="9" spans="3:22" s="5" customFormat="1" ht="15" x14ac:dyDescent="0.25">
      <c r="F9" s="13"/>
      <c r="G9" s="2"/>
      <c r="H9" s="2"/>
      <c r="I9" s="15"/>
      <c r="J9" s="52"/>
      <c r="K9" s="52"/>
      <c r="L9" s="52"/>
      <c r="M9" s="54"/>
      <c r="N9" s="52"/>
      <c r="O9" s="52"/>
      <c r="P9" s="52"/>
      <c r="Q9" s="52"/>
      <c r="R9" s="52"/>
      <c r="S9" s="54"/>
      <c r="T9" s="54"/>
      <c r="U9" s="54"/>
      <c r="V9" s="52"/>
    </row>
    <row r="10" spans="3:22" s="5" customFormat="1" x14ac:dyDescent="0.2">
      <c r="F10" s="52"/>
      <c r="G10" s="47"/>
      <c r="H10" s="48"/>
      <c r="I10" s="15"/>
      <c r="J10" s="52"/>
      <c r="K10" s="52"/>
      <c r="L10" s="52"/>
      <c r="M10" s="54"/>
      <c r="N10" s="52"/>
      <c r="O10" s="52"/>
      <c r="P10" s="52"/>
      <c r="Q10" s="52"/>
      <c r="R10" s="52"/>
      <c r="S10" s="54"/>
      <c r="T10" s="54"/>
      <c r="U10" s="54"/>
      <c r="V10" s="52"/>
    </row>
    <row r="11" spans="3:22" s="5" customFormat="1" x14ac:dyDescent="0.2">
      <c r="C11" s="53"/>
      <c r="D11" s="50"/>
      <c r="E11" s="51"/>
      <c r="F11" s="15"/>
      <c r="G11" s="52"/>
      <c r="H11" s="52"/>
      <c r="I11" s="52"/>
      <c r="J11" s="54"/>
      <c r="K11" s="52"/>
      <c r="L11" s="52"/>
      <c r="M11" s="52"/>
      <c r="N11" s="52"/>
      <c r="O11" s="52"/>
      <c r="P11" s="54"/>
      <c r="Q11" s="55" t="s">
        <v>6</v>
      </c>
      <c r="R11" s="55" t="s">
        <v>70</v>
      </c>
      <c r="S11" s="56" t="s">
        <v>10</v>
      </c>
    </row>
    <row r="12" spans="3:22" s="5" customFormat="1" ht="15" x14ac:dyDescent="0.25">
      <c r="C12" s="52"/>
      <c r="D12" s="47"/>
      <c r="E12" s="48"/>
      <c r="F12" s="15"/>
      <c r="G12" s="62">
        <f>Υπολογισμοί!G18</f>
        <v>25975.559999999998</v>
      </c>
      <c r="H12" s="62">
        <f>VLOOKUP(G12,$G$4:$I$7,1)</f>
        <v>20000</v>
      </c>
      <c r="I12" s="63">
        <f>G12-H12</f>
        <v>5975.5599999999977</v>
      </c>
      <c r="J12" s="62">
        <f>VLOOKUP(G12,$G$4:$H$7,2)</f>
        <v>29</v>
      </c>
      <c r="K12" s="62">
        <f>VLOOKUP(G12,$G$4:$I$7,3)</f>
        <v>4400</v>
      </c>
      <c r="L12" s="62">
        <f>ROUND((I12*J12/100)+K12,2)</f>
        <v>6132.91</v>
      </c>
      <c r="M12" s="62"/>
      <c r="N12" s="62"/>
      <c r="O12" s="64">
        <f t="shared" ref="O12:O16" si="0">IF(ISERROR(L12),0,L12)</f>
        <v>6132.91</v>
      </c>
      <c r="P12" s="65"/>
      <c r="Q12" s="65">
        <f>IF(O12-P12&lt;0,0,O12-P12)</f>
        <v>6132.91</v>
      </c>
      <c r="R12" s="65">
        <f>Εισφορ.Αλληλεγγύης!O15</f>
        <v>474.78</v>
      </c>
      <c r="S12" s="65">
        <f>Q12+R12</f>
        <v>6607.69</v>
      </c>
    </row>
    <row r="13" spans="3:22" s="5" customFormat="1" ht="15" x14ac:dyDescent="0.25">
      <c r="C13" s="52"/>
      <c r="D13" s="47"/>
      <c r="E13" s="48"/>
      <c r="F13" s="15"/>
      <c r="G13" s="62">
        <f>Υπολογισμοί!H18</f>
        <v>22999.586579999999</v>
      </c>
      <c r="H13" s="62">
        <f t="shared" ref="H13:H16" si="1">VLOOKUP(G13,$G$4:$I$7,1)</f>
        <v>20000</v>
      </c>
      <c r="I13" s="63">
        <f t="shared" ref="I13:I16" si="2">G13-H13</f>
        <v>2999.5865799999992</v>
      </c>
      <c r="J13" s="62">
        <f t="shared" ref="J13:J16" si="3">VLOOKUP(G13,$G$4:$H$7,2)</f>
        <v>29</v>
      </c>
      <c r="K13" s="62">
        <f t="shared" ref="K13:K16" si="4">VLOOKUP(G13,$G$4:$I$7,3)</f>
        <v>4400</v>
      </c>
      <c r="L13" s="62">
        <f t="shared" ref="L13:L16" si="5">ROUND((I13*J13/100)+K13,2)</f>
        <v>5269.88</v>
      </c>
      <c r="M13" s="62"/>
      <c r="N13" s="62"/>
      <c r="O13" s="64">
        <f t="shared" si="0"/>
        <v>5269.88</v>
      </c>
      <c r="P13" s="65"/>
      <c r="Q13" s="65">
        <f t="shared" ref="Q13:Q16" si="6">IF(O13-P13&lt;0,0,O13-P13)</f>
        <v>5269.88</v>
      </c>
      <c r="R13" s="65">
        <f>Εισφορ.Αλληλεγγύης!O16</f>
        <v>325.98</v>
      </c>
      <c r="S13" s="65">
        <f t="shared" ref="S13:S16" si="7">Q13+R13</f>
        <v>5595.8600000000006</v>
      </c>
    </row>
    <row r="14" spans="3:22" s="5" customFormat="1" ht="15" x14ac:dyDescent="0.25">
      <c r="C14" s="52"/>
      <c r="D14" s="47"/>
      <c r="E14" s="48"/>
      <c r="F14" s="15"/>
      <c r="G14" s="62">
        <f>Υπολογισμοί!I18</f>
        <v>23801.611416690001</v>
      </c>
      <c r="H14" s="62">
        <f t="shared" si="1"/>
        <v>20000</v>
      </c>
      <c r="I14" s="63">
        <f t="shared" si="2"/>
        <v>3801.6114166900006</v>
      </c>
      <c r="J14" s="62">
        <f t="shared" si="3"/>
        <v>29</v>
      </c>
      <c r="K14" s="62">
        <f t="shared" si="4"/>
        <v>4400</v>
      </c>
      <c r="L14" s="62">
        <f t="shared" si="5"/>
        <v>5502.47</v>
      </c>
      <c r="M14" s="62"/>
      <c r="N14" s="62"/>
      <c r="O14" s="64">
        <f t="shared" si="0"/>
        <v>5502.47</v>
      </c>
      <c r="P14" s="65"/>
      <c r="Q14" s="65">
        <f t="shared" si="6"/>
        <v>5502.47</v>
      </c>
      <c r="R14" s="65">
        <f>Εισφορ.Αλληλεγγύης!O17</f>
        <v>366.08</v>
      </c>
      <c r="S14" s="65">
        <f t="shared" si="7"/>
        <v>5868.55</v>
      </c>
    </row>
    <row r="15" spans="3:22" s="5" customFormat="1" ht="15" x14ac:dyDescent="0.25">
      <c r="C15" s="52"/>
      <c r="D15" s="47"/>
      <c r="E15" s="48"/>
      <c r="F15" s="15"/>
      <c r="G15" s="62">
        <f>Υπολογισμοί!J18</f>
        <v>23585.465723202044</v>
      </c>
      <c r="H15" s="62">
        <f t="shared" si="1"/>
        <v>20000</v>
      </c>
      <c r="I15" s="63">
        <f t="shared" si="2"/>
        <v>3585.4657232020436</v>
      </c>
      <c r="J15" s="62">
        <f t="shared" si="3"/>
        <v>29</v>
      </c>
      <c r="K15" s="62">
        <f t="shared" si="4"/>
        <v>4400</v>
      </c>
      <c r="L15" s="62">
        <f t="shared" si="5"/>
        <v>5439.79</v>
      </c>
      <c r="M15" s="62"/>
      <c r="N15" s="62"/>
      <c r="O15" s="64">
        <f t="shared" si="0"/>
        <v>5439.79</v>
      </c>
      <c r="P15" s="65"/>
      <c r="Q15" s="65">
        <f t="shared" si="6"/>
        <v>5439.79</v>
      </c>
      <c r="R15" s="65">
        <f>Εισφορ.Αλληλεγγύης!O18</f>
        <v>355.27</v>
      </c>
      <c r="S15" s="65">
        <f t="shared" si="7"/>
        <v>5795.0599999999995</v>
      </c>
    </row>
    <row r="16" spans="3:22" s="5" customFormat="1" ht="15" x14ac:dyDescent="0.25">
      <c r="C16" s="52"/>
      <c r="D16" s="47"/>
      <c r="E16" s="48"/>
      <c r="F16" s="15"/>
      <c r="G16" s="62">
        <f>Υπολογισμοί!K18</f>
        <v>23643.71698759705</v>
      </c>
      <c r="H16" s="62">
        <f t="shared" si="1"/>
        <v>20000</v>
      </c>
      <c r="I16" s="63">
        <f t="shared" si="2"/>
        <v>3643.7169875970503</v>
      </c>
      <c r="J16" s="62">
        <f t="shared" si="3"/>
        <v>29</v>
      </c>
      <c r="K16" s="62">
        <f t="shared" si="4"/>
        <v>4400</v>
      </c>
      <c r="L16" s="62">
        <f t="shared" si="5"/>
        <v>5456.68</v>
      </c>
      <c r="M16" s="62"/>
      <c r="N16" s="62"/>
      <c r="O16" s="64">
        <f t="shared" si="0"/>
        <v>5456.68</v>
      </c>
      <c r="P16" s="65"/>
      <c r="Q16" s="65">
        <f t="shared" si="6"/>
        <v>5456.68</v>
      </c>
      <c r="R16" s="65">
        <f>Εισφορ.Αλληλεγγύης!O19</f>
        <v>358.19</v>
      </c>
      <c r="S16" s="65">
        <f t="shared" si="7"/>
        <v>5814.87</v>
      </c>
    </row>
    <row r="17" spans="4:19" ht="15" x14ac:dyDescent="0.25">
      <c r="D17" s="47"/>
      <c r="E17" s="48"/>
      <c r="G17" s="65">
        <f>Υπολογισμοί!L18</f>
        <v>23628.018271842593</v>
      </c>
      <c r="H17" s="62">
        <f t="shared" ref="H17:H18" si="8">VLOOKUP(G17,$G$4:$I$7,1)</f>
        <v>20000</v>
      </c>
      <c r="I17" s="63">
        <f t="shared" ref="I17:I18" si="9">G17-H17</f>
        <v>3628.0182718425931</v>
      </c>
      <c r="J17" s="62">
        <f t="shared" ref="J17:J18" si="10">VLOOKUP(G17,$G$4:$H$7,2)</f>
        <v>29</v>
      </c>
      <c r="K17" s="62">
        <f t="shared" ref="K17:K18" si="11">VLOOKUP(G17,$G$4:$I$7,3)</f>
        <v>4400</v>
      </c>
      <c r="L17" s="62">
        <f t="shared" ref="L17:L18" si="12">ROUND((I17*J17/100)+K17,2)</f>
        <v>5452.13</v>
      </c>
      <c r="M17" s="62"/>
      <c r="N17" s="62"/>
      <c r="O17" s="64">
        <f t="shared" ref="O17:O18" si="13">IF(ISERROR(L17),0,L17)</f>
        <v>5452.13</v>
      </c>
      <c r="P17" s="65"/>
      <c r="Q17" s="65">
        <f t="shared" ref="Q17:Q18" si="14">IF(O17-P17&lt;0,0,O17-P17)</f>
        <v>5452.13</v>
      </c>
      <c r="R17" s="65">
        <f>Εισφορ.Αλληλεγγύης!O20</f>
        <v>357.4</v>
      </c>
      <c r="S17" s="65">
        <f t="shared" ref="S17:S18" si="15">Q17+R17</f>
        <v>5809.53</v>
      </c>
    </row>
    <row r="18" spans="4:19" ht="15" x14ac:dyDescent="0.25">
      <c r="D18" s="47"/>
      <c r="E18" s="48"/>
      <c r="G18" s="65">
        <f>Υπολογισμοί!M18</f>
        <v>23632.249075738422</v>
      </c>
      <c r="H18" s="62">
        <f t="shared" si="8"/>
        <v>20000</v>
      </c>
      <c r="I18" s="63">
        <f t="shared" si="9"/>
        <v>3632.2490757384221</v>
      </c>
      <c r="J18" s="62">
        <f t="shared" si="10"/>
        <v>29</v>
      </c>
      <c r="K18" s="62">
        <f t="shared" si="11"/>
        <v>4400</v>
      </c>
      <c r="L18" s="62">
        <f t="shared" si="12"/>
        <v>5453.35</v>
      </c>
      <c r="M18" s="62"/>
      <c r="N18" s="62"/>
      <c r="O18" s="64">
        <f t="shared" si="13"/>
        <v>5453.35</v>
      </c>
      <c r="P18" s="65"/>
      <c r="Q18" s="65">
        <f t="shared" si="14"/>
        <v>5453.35</v>
      </c>
      <c r="R18" s="65">
        <f>Εισφορ.Αλληλεγγύης!O21</f>
        <v>357.61</v>
      </c>
      <c r="S18" s="65">
        <f t="shared" si="15"/>
        <v>5810.96</v>
      </c>
    </row>
    <row r="19" spans="4:19" x14ac:dyDescent="0.2">
      <c r="D19" s="47"/>
      <c r="E19" s="48"/>
    </row>
    <row r="20" spans="4:19" x14ac:dyDescent="0.2">
      <c r="D20" s="47"/>
      <c r="E20" s="48"/>
    </row>
    <row r="21" spans="4:19" x14ac:dyDescent="0.2">
      <c r="D21" s="47"/>
      <c r="E21" s="48"/>
    </row>
    <row r="22" spans="4:19" x14ac:dyDescent="0.2">
      <c r="D22" s="47"/>
      <c r="E22" s="48"/>
    </row>
    <row r="23" spans="4:19" x14ac:dyDescent="0.2">
      <c r="D23" s="47"/>
      <c r="E23" s="48"/>
    </row>
    <row r="24" spans="4:19" x14ac:dyDescent="0.2">
      <c r="D24" s="47"/>
      <c r="E24" s="48"/>
    </row>
    <row r="25" spans="4:19" x14ac:dyDescent="0.2">
      <c r="D25" s="47"/>
      <c r="E25" s="48"/>
    </row>
    <row r="26" spans="4:19" x14ac:dyDescent="0.2">
      <c r="D26" s="47"/>
      <c r="E26" s="48"/>
    </row>
    <row r="27" spans="4:19" x14ac:dyDescent="0.2">
      <c r="D27" s="47"/>
      <c r="E27" s="48"/>
    </row>
  </sheetData>
  <mergeCells count="1">
    <mergeCell ref="G2:I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K64"/>
  <sheetViews>
    <sheetView showGridLines="0" tabSelected="1" zoomScaleNormal="100" workbookViewId="0">
      <selection activeCell="H20" sqref="H20"/>
    </sheetView>
  </sheetViews>
  <sheetFormatPr defaultRowHeight="12.75" x14ac:dyDescent="0.2"/>
  <cols>
    <col min="1" max="1" width="0.7109375" customWidth="1"/>
    <col min="2" max="2" width="2.42578125" customWidth="1"/>
    <col min="3" max="3" width="14.85546875" hidden="1" customWidth="1"/>
    <col min="4" max="4" width="3.85546875" style="77" customWidth="1"/>
    <col min="5" max="5" width="20.5703125" style="81" customWidth="1"/>
    <col min="6" max="13" width="11.85546875" customWidth="1"/>
    <col min="14" max="14" width="3.7109375" customWidth="1"/>
    <col min="15" max="15" width="10.42578125" customWidth="1"/>
    <col min="16" max="19" width="9.5703125" customWidth="1"/>
    <col min="20" max="20" width="11.42578125" customWidth="1"/>
    <col min="21" max="22" width="9.85546875" customWidth="1"/>
    <col min="23" max="23" width="2.42578125" customWidth="1"/>
    <col min="26" max="26" width="9.140625" customWidth="1"/>
    <col min="30" max="30" width="10.42578125" customWidth="1"/>
    <col min="31" max="31" width="16.85546875" customWidth="1"/>
    <col min="32" max="37" width="10.42578125" customWidth="1"/>
  </cols>
  <sheetData>
    <row r="1" spans="2:30" ht="12.75" customHeight="1" thickTop="1" x14ac:dyDescent="0.2">
      <c r="B1" s="213" t="s">
        <v>97</v>
      </c>
      <c r="C1" s="214"/>
      <c r="D1" s="214"/>
      <c r="E1" s="214"/>
      <c r="F1" s="214"/>
      <c r="G1" s="214"/>
      <c r="H1" s="214"/>
      <c r="I1" s="214"/>
      <c r="J1" s="214"/>
      <c r="K1" s="214"/>
      <c r="L1" s="214"/>
      <c r="M1" s="214"/>
      <c r="N1" s="214"/>
      <c r="O1" s="214"/>
      <c r="P1" s="214"/>
      <c r="Q1" s="214"/>
      <c r="R1" s="214"/>
      <c r="S1" s="214"/>
      <c r="T1" s="214"/>
      <c r="U1" s="214"/>
      <c r="V1" s="214"/>
      <c r="W1" s="215"/>
    </row>
    <row r="2" spans="2:30" ht="22.5" customHeight="1" thickBot="1" x14ac:dyDescent="0.25">
      <c r="B2" s="216"/>
      <c r="C2" s="217"/>
      <c r="D2" s="217"/>
      <c r="E2" s="217"/>
      <c r="F2" s="217"/>
      <c r="G2" s="217"/>
      <c r="H2" s="217"/>
      <c r="I2" s="217"/>
      <c r="J2" s="217"/>
      <c r="K2" s="217"/>
      <c r="L2" s="217"/>
      <c r="M2" s="217"/>
      <c r="N2" s="217"/>
      <c r="O2" s="217"/>
      <c r="P2" s="217"/>
      <c r="Q2" s="217"/>
      <c r="R2" s="217"/>
      <c r="S2" s="217"/>
      <c r="T2" s="217"/>
      <c r="U2" s="217"/>
      <c r="V2" s="217"/>
      <c r="W2" s="218"/>
    </row>
    <row r="3" spans="2:30" ht="16.5" thickTop="1" x14ac:dyDescent="0.2">
      <c r="B3" s="165"/>
      <c r="C3" s="41"/>
      <c r="D3" s="166"/>
      <c r="E3" s="219" t="s">
        <v>92</v>
      </c>
      <c r="F3" s="219"/>
      <c r="G3" s="219"/>
      <c r="H3" s="219"/>
      <c r="I3" s="219"/>
      <c r="J3" s="219"/>
      <c r="K3" s="144">
        <v>1</v>
      </c>
      <c r="L3" s="145"/>
      <c r="M3" s="41"/>
      <c r="N3" s="41"/>
      <c r="O3" s="41"/>
      <c r="P3" s="41"/>
      <c r="Q3" s="41"/>
      <c r="R3" s="41"/>
      <c r="S3" s="41"/>
      <c r="T3" s="41"/>
      <c r="U3" s="41"/>
      <c r="V3" s="41"/>
      <c r="W3" s="167"/>
    </row>
    <row r="4" spans="2:30" ht="15.75" x14ac:dyDescent="0.2">
      <c r="B4" s="165"/>
      <c r="C4" s="41"/>
      <c r="D4" s="166"/>
      <c r="E4" s="220" t="s">
        <v>90</v>
      </c>
      <c r="F4" s="220"/>
      <c r="G4" s="220"/>
      <c r="H4" s="220"/>
      <c r="I4" s="220"/>
      <c r="J4" s="220"/>
      <c r="K4" s="112">
        <v>0.26950000000000002</v>
      </c>
      <c r="L4" s="113"/>
      <c r="M4" s="41"/>
      <c r="N4" s="41"/>
      <c r="O4" s="41"/>
      <c r="P4" s="41"/>
      <c r="Q4" s="41"/>
      <c r="R4" s="41"/>
      <c r="S4" s="41"/>
      <c r="T4" s="41"/>
      <c r="U4" s="41"/>
      <c r="V4" s="41"/>
      <c r="W4" s="167"/>
    </row>
    <row r="5" spans="2:30" ht="15.75" x14ac:dyDescent="0.2">
      <c r="B5" s="165"/>
      <c r="C5" s="41"/>
      <c r="D5" s="166"/>
      <c r="E5" s="220" t="s">
        <v>68</v>
      </c>
      <c r="F5" s="220"/>
      <c r="G5" s="220"/>
      <c r="H5" s="220"/>
      <c r="I5" s="220"/>
      <c r="J5" s="220"/>
      <c r="K5" s="222">
        <v>4024.44</v>
      </c>
      <c r="L5" s="223"/>
      <c r="M5" s="41"/>
      <c r="N5" s="41"/>
      <c r="O5" s="41"/>
      <c r="P5" s="41"/>
      <c r="Q5" s="41"/>
      <c r="R5" s="41"/>
      <c r="S5" s="41"/>
      <c r="T5" s="41"/>
      <c r="U5" s="41"/>
      <c r="V5" s="41"/>
      <c r="W5" s="167"/>
    </row>
    <row r="6" spans="2:30" ht="15.75" x14ac:dyDescent="0.2">
      <c r="B6" s="165"/>
      <c r="C6" s="41"/>
      <c r="D6" s="166"/>
      <c r="E6" s="220" t="s">
        <v>78</v>
      </c>
      <c r="F6" s="220"/>
      <c r="G6" s="220"/>
      <c r="H6" s="220"/>
      <c r="I6" s="220"/>
      <c r="J6" s="220"/>
      <c r="K6" s="222">
        <v>36000</v>
      </c>
      <c r="L6" s="223"/>
      <c r="M6" s="41"/>
      <c r="N6" s="41"/>
      <c r="O6" s="41"/>
      <c r="P6" s="41"/>
      <c r="Q6" s="41"/>
      <c r="R6" s="41"/>
      <c r="S6" s="41"/>
      <c r="T6" s="41"/>
      <c r="U6" s="41"/>
      <c r="V6" s="41"/>
      <c r="W6" s="167"/>
    </row>
    <row r="7" spans="2:30" ht="15.75" x14ac:dyDescent="0.2">
      <c r="B7" s="165"/>
      <c r="C7" s="41"/>
      <c r="D7" s="166"/>
      <c r="E7" s="220" t="s">
        <v>79</v>
      </c>
      <c r="F7" s="220"/>
      <c r="G7" s="220"/>
      <c r="H7" s="220"/>
      <c r="I7" s="220"/>
      <c r="J7" s="220"/>
      <c r="K7" s="222">
        <v>6000</v>
      </c>
      <c r="L7" s="223"/>
      <c r="M7" s="41"/>
      <c r="N7" s="41"/>
      <c r="O7" s="41"/>
      <c r="P7" s="41"/>
      <c r="Q7" s="41"/>
      <c r="R7" s="41"/>
      <c r="S7" s="41"/>
      <c r="T7" s="41"/>
      <c r="U7" s="41"/>
      <c r="V7" s="41"/>
      <c r="W7" s="167"/>
    </row>
    <row r="8" spans="2:30" ht="15.75" x14ac:dyDescent="0.2">
      <c r="B8" s="165"/>
      <c r="C8" s="41"/>
      <c r="D8" s="166"/>
      <c r="E8" s="221" t="s">
        <v>80</v>
      </c>
      <c r="F8" s="221"/>
      <c r="G8" s="221"/>
      <c r="H8" s="221"/>
      <c r="I8" s="221"/>
      <c r="J8" s="221"/>
      <c r="K8" s="110">
        <f>IF((F19*55%)-(((K3*F13))*20%)&lt;0,0,(F19*55%)-((K3*F13))*20%)</f>
        <v>0</v>
      </c>
      <c r="L8" s="111"/>
      <c r="M8" s="41"/>
      <c r="N8" s="41"/>
      <c r="O8" s="41"/>
      <c r="P8" s="41"/>
      <c r="Q8" s="41"/>
      <c r="R8" s="41"/>
      <c r="S8" s="41"/>
      <c r="T8" s="41"/>
      <c r="U8" s="41"/>
      <c r="V8" s="41"/>
      <c r="W8" s="167"/>
    </row>
    <row r="9" spans="2:30" ht="15" x14ac:dyDescent="0.2">
      <c r="B9" s="165"/>
      <c r="C9" s="41"/>
      <c r="D9" s="166"/>
      <c r="E9" s="82"/>
      <c r="F9" s="78"/>
      <c r="G9" s="78"/>
      <c r="H9" s="78"/>
      <c r="I9" s="78"/>
      <c r="J9" s="78"/>
      <c r="K9" s="79" t="s">
        <v>81</v>
      </c>
      <c r="L9" s="90">
        <v>1895.35</v>
      </c>
      <c r="M9" s="41"/>
      <c r="N9" s="41"/>
      <c r="O9" s="41"/>
      <c r="P9" s="41"/>
      <c r="Q9" s="41"/>
      <c r="R9" s="41"/>
      <c r="S9" s="41"/>
      <c r="T9" s="41"/>
      <c r="U9" s="41"/>
      <c r="V9" s="41"/>
      <c r="W9" s="167"/>
    </row>
    <row r="10" spans="2:30" ht="13.5" thickBot="1" x14ac:dyDescent="0.25">
      <c r="B10" s="165"/>
      <c r="C10" s="41"/>
      <c r="D10" s="166"/>
      <c r="E10" s="83"/>
      <c r="F10" s="73"/>
      <c r="G10" s="73"/>
      <c r="H10" s="73"/>
      <c r="I10" s="73"/>
      <c r="J10" s="73"/>
      <c r="K10" s="114" t="s">
        <v>82</v>
      </c>
      <c r="L10" s="115">
        <v>18953.900000000001</v>
      </c>
      <c r="M10" s="41"/>
      <c r="N10" s="41"/>
      <c r="O10" s="41"/>
      <c r="P10" s="41"/>
      <c r="Q10" s="41"/>
      <c r="R10" s="41"/>
      <c r="S10" s="41"/>
      <c r="T10" s="41"/>
      <c r="U10" s="41"/>
      <c r="V10" s="41"/>
      <c r="W10" s="167"/>
    </row>
    <row r="11" spans="2:30" ht="3.75" customHeight="1" x14ac:dyDescent="0.2">
      <c r="B11" s="165"/>
      <c r="C11" s="41"/>
      <c r="D11" s="116"/>
      <c r="E11" s="117"/>
      <c r="F11" s="118"/>
      <c r="G11" s="118"/>
      <c r="H11" s="118"/>
      <c r="I11" s="118"/>
      <c r="J11" s="118"/>
      <c r="K11" s="118"/>
      <c r="L11" s="118"/>
      <c r="M11" s="119"/>
      <c r="N11" s="41"/>
      <c r="O11" s="41"/>
      <c r="P11" s="41"/>
      <c r="Q11" s="41"/>
      <c r="R11" s="41"/>
      <c r="S11" s="41"/>
      <c r="T11" s="41"/>
      <c r="U11" s="41"/>
      <c r="V11" s="41"/>
      <c r="W11" s="167"/>
    </row>
    <row r="12" spans="2:30" ht="21.75" thickBot="1" x14ac:dyDescent="0.4">
      <c r="B12" s="165"/>
      <c r="C12" s="41"/>
      <c r="D12" s="120"/>
      <c r="E12" s="146" t="s">
        <v>17</v>
      </c>
      <c r="F12" s="147">
        <v>2015</v>
      </c>
      <c r="G12" s="147">
        <v>2016</v>
      </c>
      <c r="H12" s="147">
        <v>2017</v>
      </c>
      <c r="I12" s="147">
        <v>2018</v>
      </c>
      <c r="J12" s="147">
        <v>2019</v>
      </c>
      <c r="K12" s="147">
        <v>2020</v>
      </c>
      <c r="L12" s="147">
        <v>2021</v>
      </c>
      <c r="M12" s="148">
        <v>2022</v>
      </c>
      <c r="N12" s="41"/>
      <c r="O12" s="41"/>
      <c r="P12" s="41"/>
      <c r="Q12" s="41"/>
      <c r="R12" s="41"/>
      <c r="S12" s="41"/>
      <c r="T12" s="41"/>
      <c r="U12" s="41"/>
      <c r="V12" s="41"/>
      <c r="W12" s="167"/>
    </row>
    <row r="13" spans="2:30" ht="26.25" thickBot="1" x14ac:dyDescent="0.25">
      <c r="B13" s="165"/>
      <c r="C13" s="76"/>
      <c r="D13" s="121">
        <v>1</v>
      </c>
      <c r="E13" s="186" t="s">
        <v>83</v>
      </c>
      <c r="F13" s="187">
        <f>+K6</f>
        <v>36000</v>
      </c>
      <c r="G13" s="187">
        <f>F13</f>
        <v>36000</v>
      </c>
      <c r="H13" s="187">
        <f>F13</f>
        <v>36000</v>
      </c>
      <c r="I13" s="187">
        <f>F13</f>
        <v>36000</v>
      </c>
      <c r="J13" s="187">
        <f>F13</f>
        <v>36000</v>
      </c>
      <c r="K13" s="187">
        <f>F13</f>
        <v>36000</v>
      </c>
      <c r="L13" s="187">
        <f t="shared" ref="L13" si="0">G13</f>
        <v>36000</v>
      </c>
      <c r="M13" s="188">
        <f>H13</f>
        <v>36000</v>
      </c>
      <c r="N13" s="41"/>
      <c r="O13" s="41"/>
      <c r="P13" s="41"/>
      <c r="Q13" s="41"/>
      <c r="R13" s="41"/>
      <c r="S13" s="41"/>
      <c r="T13" s="41"/>
      <c r="U13" s="41"/>
      <c r="V13" s="41"/>
      <c r="W13" s="167"/>
    </row>
    <row r="14" spans="2:30" ht="27" thickTop="1" thickBot="1" x14ac:dyDescent="0.25">
      <c r="B14" s="165"/>
      <c r="C14" s="168"/>
      <c r="D14" s="121">
        <v>2</v>
      </c>
      <c r="E14" s="123" t="s">
        <v>84</v>
      </c>
      <c r="F14" s="189">
        <f>K5</f>
        <v>4024.44</v>
      </c>
      <c r="G14" s="189">
        <f>K5</f>
        <v>4024.44</v>
      </c>
      <c r="H14" s="124"/>
      <c r="I14" s="124"/>
      <c r="J14" s="124"/>
      <c r="K14" s="124"/>
      <c r="L14" s="124"/>
      <c r="M14" s="125"/>
      <c r="N14" s="41"/>
      <c r="O14" s="41"/>
      <c r="P14" s="41"/>
      <c r="Q14" s="41"/>
      <c r="R14" s="41"/>
      <c r="S14" s="41"/>
      <c r="T14" s="41"/>
      <c r="U14" s="41"/>
      <c r="V14" s="41"/>
      <c r="W14" s="167"/>
      <c r="AD14" s="29"/>
    </row>
    <row r="15" spans="2:30" ht="27" thickTop="1" thickBot="1" x14ac:dyDescent="0.25">
      <c r="B15" s="165"/>
      <c r="C15" s="169"/>
      <c r="D15" s="121">
        <v>3</v>
      </c>
      <c r="E15" s="225" t="s">
        <v>89</v>
      </c>
      <c r="F15" s="124"/>
      <c r="G15" s="124"/>
      <c r="H15" s="189">
        <f>IF(G18*$K$4&lt;$L$9,$L$9,IF((G18*$K$4)&gt;$L$10,$L$10,(G18*$K$4)))</f>
        <v>7000.4134199999999</v>
      </c>
      <c r="I15" s="189">
        <f>IF(H18*$K$4&lt;$L$9,$L$9,IF(H18*$K$4&gt;$L$10,$L$10,(H18*$K$4)))</f>
        <v>6198.3885833100003</v>
      </c>
      <c r="J15" s="189">
        <f>IF(I18*$K$4&lt;$L$9,$L$9,IF(I18*$K$4&gt;$L$10,$L$10,(I18*$K$4)))</f>
        <v>6414.5342767979555</v>
      </c>
      <c r="K15" s="189">
        <f>IF(J18*$K$4&lt;$L$9,$L$9,IF(J18*$K$4&gt;$L$10,$L$10,(J18*$K$4)))</f>
        <v>6356.2830124029515</v>
      </c>
      <c r="L15" s="189">
        <f>IF(K18*$K$4&lt;$L$9,$L$9,IF(K18*$K$4&gt;$L$10,$L$10,(K18*$K$4)))</f>
        <v>6371.9817281574051</v>
      </c>
      <c r="M15" s="224">
        <f>IF(L18*$K$4&lt;$L$9,$L$9,IF(L18*$K$4&gt;$L$10,$L$10,(L18*$K$4)))</f>
        <v>6367.7509242615788</v>
      </c>
      <c r="N15" s="41"/>
      <c r="O15" s="41"/>
      <c r="P15" s="41"/>
      <c r="Q15" s="41"/>
      <c r="R15" s="41"/>
      <c r="S15" s="41"/>
      <c r="T15" s="41"/>
      <c r="U15" s="41"/>
      <c r="V15" s="41"/>
      <c r="W15" s="167"/>
      <c r="AD15" s="29"/>
    </row>
    <row r="16" spans="2:30" ht="15.75" thickTop="1" x14ac:dyDescent="0.2">
      <c r="B16" s="165"/>
      <c r="C16" s="169"/>
      <c r="D16" s="121">
        <v>4</v>
      </c>
      <c r="E16" s="180" t="s">
        <v>18</v>
      </c>
      <c r="F16" s="181">
        <f>+K7</f>
        <v>6000</v>
      </c>
      <c r="G16" s="181">
        <f>F16</f>
        <v>6000</v>
      </c>
      <c r="H16" s="181">
        <f>F16</f>
        <v>6000</v>
      </c>
      <c r="I16" s="181">
        <f>F16</f>
        <v>6000</v>
      </c>
      <c r="J16" s="181">
        <f>F16</f>
        <v>6000</v>
      </c>
      <c r="K16" s="181">
        <f>F16</f>
        <v>6000</v>
      </c>
      <c r="L16" s="181">
        <f>G16</f>
        <v>6000</v>
      </c>
      <c r="M16" s="182">
        <f>H16</f>
        <v>6000</v>
      </c>
      <c r="N16" s="41"/>
      <c r="O16" s="41"/>
      <c r="P16" s="41"/>
      <c r="Q16" s="41"/>
      <c r="R16" s="41"/>
      <c r="S16" s="41"/>
      <c r="T16" s="41"/>
      <c r="U16" s="41"/>
      <c r="V16" s="41"/>
      <c r="W16" s="167"/>
    </row>
    <row r="17" spans="1:37" ht="15.75" thickBot="1" x14ac:dyDescent="0.25">
      <c r="B17" s="165"/>
      <c r="C17" s="169"/>
      <c r="D17" s="121">
        <v>5</v>
      </c>
      <c r="E17" s="180" t="s">
        <v>19</v>
      </c>
      <c r="F17" s="181">
        <f t="shared" ref="F17:K17" si="1">SUM(F14:F16)</f>
        <v>10024.44</v>
      </c>
      <c r="G17" s="181">
        <f t="shared" si="1"/>
        <v>10024.44</v>
      </c>
      <c r="H17" s="181">
        <f t="shared" si="1"/>
        <v>13000.413420000001</v>
      </c>
      <c r="I17" s="181">
        <f t="shared" si="1"/>
        <v>12198.388583309999</v>
      </c>
      <c r="J17" s="181">
        <f t="shared" si="1"/>
        <v>12414.534276797956</v>
      </c>
      <c r="K17" s="181">
        <f t="shared" si="1"/>
        <v>12356.283012402951</v>
      </c>
      <c r="L17" s="181">
        <f t="shared" ref="L17:M17" si="2">SUM(L14:L16)</f>
        <v>12371.981728157405</v>
      </c>
      <c r="M17" s="182">
        <f t="shared" si="2"/>
        <v>12367.750924261578</v>
      </c>
      <c r="N17" s="41"/>
      <c r="O17" s="41"/>
      <c r="P17" s="41"/>
      <c r="Q17" s="41"/>
      <c r="R17" s="41"/>
      <c r="S17" s="41"/>
      <c r="T17" s="41"/>
      <c r="U17" s="41"/>
      <c r="V17" s="41"/>
      <c r="W17" s="167"/>
      <c r="AF17" s="41"/>
      <c r="AG17" s="41"/>
      <c r="AH17" s="41"/>
      <c r="AI17" s="41"/>
      <c r="AJ17" s="41"/>
      <c r="AK17" s="41"/>
    </row>
    <row r="18" spans="1:37" ht="15.75" thickBot="1" x14ac:dyDescent="0.25">
      <c r="B18" s="165"/>
      <c r="C18" s="169"/>
      <c r="D18" s="121">
        <v>6</v>
      </c>
      <c r="E18" s="227" t="s">
        <v>73</v>
      </c>
      <c r="F18" s="228">
        <f t="shared" ref="F18:K18" si="3">F13-F17</f>
        <v>25975.559999999998</v>
      </c>
      <c r="G18" s="228">
        <f t="shared" si="3"/>
        <v>25975.559999999998</v>
      </c>
      <c r="H18" s="228">
        <f t="shared" si="3"/>
        <v>22999.586579999999</v>
      </c>
      <c r="I18" s="228">
        <f t="shared" si="3"/>
        <v>23801.611416690001</v>
      </c>
      <c r="J18" s="228">
        <f t="shared" si="3"/>
        <v>23585.465723202044</v>
      </c>
      <c r="K18" s="228">
        <f t="shared" si="3"/>
        <v>23643.71698759705</v>
      </c>
      <c r="L18" s="228">
        <f t="shared" ref="L18:M18" si="4">L13-L17</f>
        <v>23628.018271842593</v>
      </c>
      <c r="M18" s="229">
        <f t="shared" si="4"/>
        <v>23632.249075738422</v>
      </c>
      <c r="N18" s="41"/>
      <c r="O18" s="41"/>
      <c r="P18" s="41"/>
      <c r="Q18" s="41"/>
      <c r="R18" s="41"/>
      <c r="S18" s="41"/>
      <c r="T18" s="41"/>
      <c r="U18" s="41"/>
      <c r="V18" s="41"/>
      <c r="W18" s="167"/>
      <c r="AF18" s="42"/>
      <c r="AG18" s="43"/>
      <c r="AH18" s="43"/>
      <c r="AI18" s="43"/>
      <c r="AJ18" s="43"/>
      <c r="AK18" s="43"/>
    </row>
    <row r="19" spans="1:37" ht="15" x14ac:dyDescent="0.2">
      <c r="A19" s="30"/>
      <c r="B19" s="165"/>
      <c r="C19" s="168"/>
      <c r="D19" s="121">
        <v>7</v>
      </c>
      <c r="E19" s="183" t="s">
        <v>75</v>
      </c>
      <c r="F19" s="184">
        <f>IF(F18&gt;50000,(((F18-50000)*33%)+13000),IF((F18*26%)&lt;0,0,F18*26%))</f>
        <v>6753.6455999999998</v>
      </c>
      <c r="G19" s="184">
        <f>'4172_el'!Q12</f>
        <v>6132.91</v>
      </c>
      <c r="H19" s="184">
        <f>'4172_el'!Q13</f>
        <v>5269.88</v>
      </c>
      <c r="I19" s="184">
        <f>'4172_el'!Q14</f>
        <v>5502.47</v>
      </c>
      <c r="J19" s="184">
        <f>'4172_el'!Q15</f>
        <v>5439.79</v>
      </c>
      <c r="K19" s="184">
        <f>'4172_el'!Q16</f>
        <v>5456.68</v>
      </c>
      <c r="L19" s="184">
        <f>'4172_el'!Q17</f>
        <v>5452.13</v>
      </c>
      <c r="M19" s="185">
        <f>'4172_el'!Q18</f>
        <v>5453.35</v>
      </c>
      <c r="N19" s="41"/>
      <c r="O19" s="41"/>
      <c r="P19" s="41"/>
      <c r="Q19" s="41"/>
      <c r="R19" s="41"/>
      <c r="S19" s="41"/>
      <c r="T19" s="41"/>
      <c r="U19" s="41"/>
      <c r="V19" s="41"/>
      <c r="W19" s="167"/>
      <c r="AF19" s="42"/>
      <c r="AG19" s="43"/>
      <c r="AH19" s="43"/>
      <c r="AI19" s="43"/>
      <c r="AJ19" s="43"/>
      <c r="AK19" s="43"/>
    </row>
    <row r="20" spans="1:37" ht="15" x14ac:dyDescent="0.2">
      <c r="A20" s="72"/>
      <c r="B20" s="170"/>
      <c r="C20" s="168"/>
      <c r="D20" s="121">
        <v>8</v>
      </c>
      <c r="E20" s="88" t="s">
        <v>16</v>
      </c>
      <c r="F20" s="89">
        <f>IF(F18&lt;12001,0,IF(AND(F18&lt;20001,F18&gt;12001),(F18*0.7%),IF(AND(F18&gt;20001,F18&lt;30001),(F18*1.4%),IF(AND(F18&gt;30001,F18&lt;50001),(F18*2%),IF(AND(F18&gt;50001,F18&lt;100001),(F18*4%),IF(AND(F18&gt;100001,F18&lt;500001),(F18*6%),))))))</f>
        <v>363.65783999999991</v>
      </c>
      <c r="G20" s="89">
        <f>Εισφορ.Αλληλεγγύης!O15</f>
        <v>474.78</v>
      </c>
      <c r="H20" s="89">
        <f>Εισφορ.Αλληλεγγύης!O16</f>
        <v>325.98</v>
      </c>
      <c r="I20" s="89">
        <f>Εισφορ.Αλληλεγγύης!O17</f>
        <v>366.08</v>
      </c>
      <c r="J20" s="89">
        <f>Εισφορ.Αλληλεγγύης!O18</f>
        <v>355.27</v>
      </c>
      <c r="K20" s="89">
        <f>Εισφορ.Αλληλεγγύης!O19</f>
        <v>358.19</v>
      </c>
      <c r="L20" s="89">
        <f>Εισφορ.Αλληλεγγύης!O20</f>
        <v>357.4</v>
      </c>
      <c r="M20" s="122">
        <f>Εισφορ.Αλληλεγγύης!O21</f>
        <v>357.61</v>
      </c>
      <c r="N20" s="41"/>
      <c r="O20" s="41"/>
      <c r="P20" s="41"/>
      <c r="Q20" s="41"/>
      <c r="R20" s="41"/>
      <c r="S20" s="41"/>
      <c r="T20" s="41"/>
      <c r="U20" s="41"/>
      <c r="V20" s="41"/>
      <c r="W20" s="167"/>
      <c r="AF20" s="42"/>
      <c r="AG20" s="43"/>
      <c r="AH20" s="43"/>
      <c r="AI20" s="43"/>
      <c r="AJ20" s="43"/>
      <c r="AK20" s="43"/>
    </row>
    <row r="21" spans="1:37" ht="15.75" thickBot="1" x14ac:dyDescent="0.25">
      <c r="A21" s="72"/>
      <c r="B21" s="170"/>
      <c r="C21" s="171"/>
      <c r="D21" s="121">
        <v>9</v>
      </c>
      <c r="E21" s="88" t="s">
        <v>0</v>
      </c>
      <c r="F21" s="89">
        <v>650</v>
      </c>
      <c r="G21" s="89">
        <v>650</v>
      </c>
      <c r="H21" s="89">
        <v>650</v>
      </c>
      <c r="I21" s="89">
        <v>650</v>
      </c>
      <c r="J21" s="89">
        <v>650</v>
      </c>
      <c r="K21" s="89">
        <v>650</v>
      </c>
      <c r="L21" s="89">
        <v>650</v>
      </c>
      <c r="M21" s="122">
        <v>650</v>
      </c>
      <c r="N21" s="41"/>
      <c r="O21" s="41"/>
      <c r="P21" s="41"/>
      <c r="Q21" s="41"/>
      <c r="R21" s="41"/>
      <c r="S21" s="41"/>
      <c r="T21" s="41"/>
      <c r="U21" s="41"/>
      <c r="V21" s="41"/>
      <c r="W21" s="167"/>
      <c r="AF21" s="42"/>
      <c r="AG21" s="43"/>
      <c r="AH21" s="43"/>
      <c r="AI21" s="43"/>
      <c r="AJ21" s="43"/>
      <c r="AK21" s="43"/>
    </row>
    <row r="22" spans="1:37" ht="27.75" customHeight="1" x14ac:dyDescent="0.2">
      <c r="A22" s="72"/>
      <c r="B22" s="170"/>
      <c r="C22" s="171"/>
      <c r="D22" s="121"/>
      <c r="E22" s="193" t="s">
        <v>95</v>
      </c>
      <c r="F22" s="194">
        <f>+F21+F20+F19</f>
        <v>7767.3034399999997</v>
      </c>
      <c r="G22" s="194">
        <f t="shared" ref="G22:L22" si="5">+G21+G20+G19</f>
        <v>7257.69</v>
      </c>
      <c r="H22" s="194">
        <f t="shared" si="5"/>
        <v>6245.8600000000006</v>
      </c>
      <c r="I22" s="194">
        <f t="shared" si="5"/>
        <v>6518.55</v>
      </c>
      <c r="J22" s="194">
        <f t="shared" si="5"/>
        <v>6445.0599999999995</v>
      </c>
      <c r="K22" s="194">
        <f t="shared" si="5"/>
        <v>6464.8700000000008</v>
      </c>
      <c r="L22" s="194">
        <f t="shared" si="5"/>
        <v>6459.53</v>
      </c>
      <c r="M22" s="195">
        <f>+M21+M20+M19</f>
        <v>6460.96</v>
      </c>
      <c r="N22" s="41"/>
      <c r="O22" s="197" t="s">
        <v>96</v>
      </c>
      <c r="P22" s="198"/>
      <c r="Q22" s="198"/>
      <c r="R22" s="198"/>
      <c r="S22" s="198"/>
      <c r="T22" s="198"/>
      <c r="U22" s="198"/>
      <c r="V22" s="199"/>
      <c r="W22" s="167"/>
      <c r="AF22" s="42"/>
      <c r="AG22" s="43"/>
      <c r="AH22" s="43"/>
      <c r="AI22" s="43"/>
      <c r="AJ22" s="43"/>
      <c r="AK22" s="43"/>
    </row>
    <row r="23" spans="1:37" ht="27.75" customHeight="1" thickBot="1" x14ac:dyDescent="0.25">
      <c r="A23" s="72"/>
      <c r="B23" s="170"/>
      <c r="C23" s="171"/>
      <c r="D23" s="126">
        <v>10</v>
      </c>
      <c r="E23" s="190" t="s">
        <v>72</v>
      </c>
      <c r="F23" s="191">
        <f>+F18-F22</f>
        <v>18208.256559999998</v>
      </c>
      <c r="G23" s="191">
        <f t="shared" ref="G23:M23" si="6">+G18-G22</f>
        <v>18717.87</v>
      </c>
      <c r="H23" s="191">
        <f t="shared" si="6"/>
        <v>16753.726579999999</v>
      </c>
      <c r="I23" s="191">
        <f t="shared" si="6"/>
        <v>17283.061416690001</v>
      </c>
      <c r="J23" s="191">
        <f t="shared" si="6"/>
        <v>17140.405723202042</v>
      </c>
      <c r="K23" s="191">
        <f t="shared" si="6"/>
        <v>17178.846987597048</v>
      </c>
      <c r="L23" s="191">
        <f t="shared" si="6"/>
        <v>17168.488271842594</v>
      </c>
      <c r="M23" s="192">
        <f t="shared" si="6"/>
        <v>17171.289075738423</v>
      </c>
      <c r="N23" s="41"/>
      <c r="O23" s="200"/>
      <c r="P23" s="201"/>
      <c r="Q23" s="201"/>
      <c r="R23" s="201"/>
      <c r="S23" s="201"/>
      <c r="T23" s="201"/>
      <c r="U23" s="201"/>
      <c r="V23" s="202"/>
      <c r="W23" s="167"/>
      <c r="AF23" s="42"/>
      <c r="AG23" s="43"/>
      <c r="AH23" s="43"/>
      <c r="AI23" s="43"/>
      <c r="AJ23" s="43"/>
      <c r="AK23" s="43"/>
    </row>
    <row r="24" spans="1:37" ht="27.75" customHeight="1" thickBot="1" x14ac:dyDescent="0.25">
      <c r="A24" s="39"/>
      <c r="B24" s="170"/>
      <c r="C24" s="172"/>
      <c r="D24" s="173"/>
      <c r="E24" s="174"/>
      <c r="F24" s="41"/>
      <c r="G24" s="41"/>
      <c r="H24" s="41"/>
      <c r="I24" s="41"/>
      <c r="J24" s="41"/>
      <c r="K24" s="41"/>
      <c r="L24" s="41"/>
      <c r="M24" s="41"/>
      <c r="N24" s="41"/>
      <c r="O24" s="196"/>
      <c r="P24" s="203">
        <v>2016</v>
      </c>
      <c r="Q24" s="203">
        <v>2017</v>
      </c>
      <c r="R24" s="203">
        <v>2018</v>
      </c>
      <c r="S24" s="203">
        <v>2019</v>
      </c>
      <c r="T24" s="203">
        <v>2020</v>
      </c>
      <c r="U24" s="203">
        <v>2021</v>
      </c>
      <c r="V24" s="204">
        <v>2022</v>
      </c>
      <c r="W24" s="167"/>
    </row>
    <row r="25" spans="1:37" ht="27" customHeight="1" thickBot="1" x14ac:dyDescent="0.25">
      <c r="A25" s="75"/>
      <c r="B25" s="170"/>
      <c r="C25" s="172"/>
      <c r="D25" s="127">
        <v>11</v>
      </c>
      <c r="E25" s="128" t="s">
        <v>77</v>
      </c>
      <c r="F25" s="129">
        <f>((F13*$K$3))*20%</f>
        <v>7200</v>
      </c>
      <c r="G25" s="129">
        <f t="shared" ref="G25:M25" si="7">((G13*$K$3))*20%</f>
        <v>7200</v>
      </c>
      <c r="H25" s="129">
        <f t="shared" si="7"/>
        <v>7200</v>
      </c>
      <c r="I25" s="129">
        <f t="shared" si="7"/>
        <v>7200</v>
      </c>
      <c r="J25" s="129">
        <f t="shared" si="7"/>
        <v>7200</v>
      </c>
      <c r="K25" s="129">
        <f t="shared" si="7"/>
        <v>7200</v>
      </c>
      <c r="L25" s="129">
        <f>((L13*$K$3))*20%</f>
        <v>7200</v>
      </c>
      <c r="M25" s="130">
        <f t="shared" si="7"/>
        <v>7200</v>
      </c>
      <c r="N25" s="41"/>
      <c r="O25" s="226">
        <f>K6</f>
        <v>36000</v>
      </c>
      <c r="P25" s="205">
        <f>G37</f>
        <v>509.61344000000099</v>
      </c>
      <c r="Q25" s="205">
        <f>H37</f>
        <v>-1454.5299799999993</v>
      </c>
      <c r="R25" s="205">
        <f>I37</f>
        <v>-925.19514330999664</v>
      </c>
      <c r="S25" s="205">
        <f>J37</f>
        <v>-1067.8508367979557</v>
      </c>
      <c r="T25" s="205">
        <f>K37</f>
        <v>-1029.4095724029467</v>
      </c>
      <c r="U25" s="205">
        <f>L37</f>
        <v>-1039.7682881574037</v>
      </c>
      <c r="V25" s="206">
        <f>M37</f>
        <v>-1036.967484261575</v>
      </c>
      <c r="W25" s="167"/>
    </row>
    <row r="26" spans="1:37" ht="27" customHeight="1" thickBot="1" x14ac:dyDescent="0.25">
      <c r="A26" s="72"/>
      <c r="B26" s="170"/>
      <c r="C26" s="172"/>
      <c r="D26" s="121">
        <v>12</v>
      </c>
      <c r="E26" s="100" t="s">
        <v>71</v>
      </c>
      <c r="F26" s="101">
        <f>F19*75%</f>
        <v>5065.2341999999999</v>
      </c>
      <c r="G26" s="101">
        <f>G19*100%</f>
        <v>6132.91</v>
      </c>
      <c r="H26" s="101">
        <f t="shared" ref="H26:M26" si="8">H19*100%</f>
        <v>5269.88</v>
      </c>
      <c r="I26" s="101">
        <f t="shared" si="8"/>
        <v>5502.47</v>
      </c>
      <c r="J26" s="101">
        <f t="shared" si="8"/>
        <v>5439.79</v>
      </c>
      <c r="K26" s="101">
        <f t="shared" si="8"/>
        <v>5456.68</v>
      </c>
      <c r="L26" s="101">
        <f t="shared" si="8"/>
        <v>5452.13</v>
      </c>
      <c r="M26" s="131">
        <f t="shared" si="8"/>
        <v>5453.35</v>
      </c>
      <c r="N26" s="41"/>
      <c r="O26" s="41"/>
      <c r="P26" s="41"/>
      <c r="Q26" s="209">
        <f>+Q25+R25+S25+T25+U25+V25</f>
        <v>-6553.7213049298771</v>
      </c>
      <c r="R26" s="210"/>
      <c r="S26" s="210"/>
      <c r="T26" s="210"/>
      <c r="U26" s="210"/>
      <c r="V26" s="211"/>
      <c r="W26" s="167"/>
    </row>
    <row r="27" spans="1:37" ht="27" customHeight="1" thickBot="1" x14ac:dyDescent="0.25">
      <c r="A27" s="72"/>
      <c r="B27" s="170"/>
      <c r="C27" s="171"/>
      <c r="D27" s="132">
        <v>13</v>
      </c>
      <c r="E27" s="100" t="s">
        <v>91</v>
      </c>
      <c r="F27" s="101">
        <f>IF((F26-F25)&gt;30,(F26-F25),IF((F26-F25)&lt;30,0))</f>
        <v>0</v>
      </c>
      <c r="G27" s="101">
        <f>IF((G26-G25)&gt;30,(G26-G25),IF((G26-G25)&lt;30,0))</f>
        <v>0</v>
      </c>
      <c r="H27" s="101">
        <f>IF((H26-H25)&gt;30,(H26-H25),IF((H26-H25)&lt;30,0))</f>
        <v>0</v>
      </c>
      <c r="I27" s="101">
        <f t="shared" ref="I27:M27" si="9">IF((I26-I25)&gt;30,(I26-I25),IF((I26-I25)&lt;30,0))</f>
        <v>0</v>
      </c>
      <c r="J27" s="101">
        <f t="shared" si="9"/>
        <v>0</v>
      </c>
      <c r="K27" s="101">
        <f t="shared" si="9"/>
        <v>0</v>
      </c>
      <c r="L27" s="101">
        <f t="shared" si="9"/>
        <v>0</v>
      </c>
      <c r="M27" s="131">
        <f t="shared" si="9"/>
        <v>0</v>
      </c>
      <c r="N27" s="41"/>
      <c r="O27" s="41"/>
      <c r="P27" s="41"/>
      <c r="Q27" s="212"/>
      <c r="R27" s="209">
        <f>+R25+S25+T25+U25+V25</f>
        <v>-5099.1913249298777</v>
      </c>
      <c r="S27" s="210"/>
      <c r="T27" s="210"/>
      <c r="U27" s="210"/>
      <c r="V27" s="211"/>
      <c r="W27" s="167"/>
    </row>
    <row r="28" spans="1:37" ht="27" customHeight="1" thickBot="1" x14ac:dyDescent="0.25">
      <c r="A28" s="72"/>
      <c r="B28" s="170"/>
      <c r="C28" s="172"/>
      <c r="D28" s="133" t="s">
        <v>74</v>
      </c>
      <c r="E28" s="134" t="s">
        <v>76</v>
      </c>
      <c r="F28" s="135">
        <f>F19+F20+F21+F27-F25-K8</f>
        <v>567.30343999999968</v>
      </c>
      <c r="G28" s="135">
        <f>G19+G20+G21+G27-G25-L8-F27</f>
        <v>57.6899999999996</v>
      </c>
      <c r="H28" s="135">
        <f>H19+H20+H21+H27-H25-M8-G27</f>
        <v>-954.13999999999942</v>
      </c>
      <c r="I28" s="135">
        <f t="shared" ref="I28:M28" si="10">I19+I20+I21+I27-I25-N8-H27</f>
        <v>-681.44999999999982</v>
      </c>
      <c r="J28" s="135">
        <f t="shared" si="10"/>
        <v>-754.94000000000051</v>
      </c>
      <c r="K28" s="135">
        <f t="shared" si="10"/>
        <v>-735.13000000000011</v>
      </c>
      <c r="L28" s="135">
        <f t="shared" si="10"/>
        <v>-740.47000000000025</v>
      </c>
      <c r="M28" s="136">
        <f t="shared" si="10"/>
        <v>-739.04</v>
      </c>
      <c r="N28" s="41"/>
      <c r="O28" s="41"/>
      <c r="P28" s="41"/>
      <c r="Q28" s="212"/>
      <c r="R28" s="212"/>
      <c r="S28" s="209">
        <f>+S25+T25+U25+V25</f>
        <v>-4173.9961816198811</v>
      </c>
      <c r="T28" s="210"/>
      <c r="U28" s="210"/>
      <c r="V28" s="211"/>
      <c r="W28" s="167"/>
    </row>
    <row r="29" spans="1:37" ht="27" customHeight="1" thickBot="1" x14ac:dyDescent="0.3">
      <c r="A29" s="72"/>
      <c r="B29" s="170"/>
      <c r="C29" s="172"/>
      <c r="D29" s="87"/>
      <c r="E29" s="85"/>
      <c r="F29" s="86"/>
      <c r="G29" s="86"/>
      <c r="H29" s="86"/>
      <c r="I29" s="86"/>
      <c r="J29" s="86"/>
      <c r="K29" s="86"/>
      <c r="L29" s="86"/>
      <c r="M29" s="86"/>
      <c r="N29" s="41"/>
      <c r="O29" s="41"/>
      <c r="P29" s="41"/>
      <c r="Q29" s="212"/>
      <c r="R29" s="212"/>
      <c r="S29" s="212"/>
      <c r="T29" s="209">
        <f>+T25+U25+V25</f>
        <v>-3106.1453448219254</v>
      </c>
      <c r="U29" s="210"/>
      <c r="V29" s="211"/>
      <c r="W29" s="167"/>
    </row>
    <row r="30" spans="1:37" ht="27" customHeight="1" thickBot="1" x14ac:dyDescent="0.3">
      <c r="A30" s="72"/>
      <c r="B30" s="170"/>
      <c r="C30" s="172"/>
      <c r="D30" s="137">
        <v>15</v>
      </c>
      <c r="E30" s="138" t="s">
        <v>86</v>
      </c>
      <c r="F30" s="142">
        <f>F18-F28-F25</f>
        <v>18208.256559999998</v>
      </c>
      <c r="G30" s="142">
        <f t="shared" ref="G30:M30" si="11">G18-G28-G25</f>
        <v>18717.87</v>
      </c>
      <c r="H30" s="142">
        <f t="shared" si="11"/>
        <v>16753.726579999999</v>
      </c>
      <c r="I30" s="142">
        <f t="shared" si="11"/>
        <v>17283.061416690001</v>
      </c>
      <c r="J30" s="142">
        <f t="shared" si="11"/>
        <v>17140.405723202042</v>
      </c>
      <c r="K30" s="142">
        <f t="shared" si="11"/>
        <v>17178.846987597051</v>
      </c>
      <c r="L30" s="142">
        <f t="shared" si="11"/>
        <v>17168.488271842594</v>
      </c>
      <c r="M30" s="143">
        <f t="shared" si="11"/>
        <v>17171.289075738423</v>
      </c>
      <c r="N30" s="41"/>
      <c r="O30" s="41"/>
      <c r="P30" s="41"/>
      <c r="Q30" s="212"/>
      <c r="R30" s="212"/>
      <c r="S30" s="212"/>
      <c r="T30" s="212"/>
      <c r="U30" s="209">
        <f>+U25+V25</f>
        <v>-2076.7357724189787</v>
      </c>
      <c r="V30" s="211"/>
      <c r="W30" s="167"/>
    </row>
    <row r="31" spans="1:37" ht="5.25" customHeight="1" thickBot="1" x14ac:dyDescent="0.25">
      <c r="A31" s="72"/>
      <c r="B31" s="170"/>
      <c r="C31" s="172"/>
      <c r="D31" s="173"/>
      <c r="E31" s="174"/>
      <c r="F31" s="41"/>
      <c r="G31" s="41"/>
      <c r="H31" s="41"/>
      <c r="I31" s="41"/>
      <c r="J31" s="41"/>
      <c r="K31" s="41"/>
      <c r="L31" s="41"/>
      <c r="M31" s="41"/>
      <c r="N31" s="80"/>
      <c r="O31" s="41"/>
      <c r="P31" s="41"/>
      <c r="Q31" s="212"/>
      <c r="R31" s="212"/>
      <c r="S31" s="212"/>
      <c r="T31" s="212"/>
      <c r="U31" s="212"/>
      <c r="V31" s="212"/>
      <c r="W31" s="167"/>
    </row>
    <row r="32" spans="1:37" ht="51" x14ac:dyDescent="0.2">
      <c r="A32" s="72"/>
      <c r="B32" s="170"/>
      <c r="C32" s="172"/>
      <c r="D32" s="153">
        <v>16</v>
      </c>
      <c r="E32" s="154" t="s">
        <v>85</v>
      </c>
      <c r="F32" s="155">
        <f>F30/F13</f>
        <v>0.50578490444444435</v>
      </c>
      <c r="G32" s="155">
        <f t="shared" ref="G32:M32" si="12">G30/G13</f>
        <v>0.5199408333333333</v>
      </c>
      <c r="H32" s="155">
        <f t="shared" si="12"/>
        <v>0.46538129388888883</v>
      </c>
      <c r="I32" s="155">
        <f t="shared" si="12"/>
        <v>0.48008503935250002</v>
      </c>
      <c r="J32" s="155">
        <f t="shared" si="12"/>
        <v>0.47612238120005673</v>
      </c>
      <c r="K32" s="155">
        <f t="shared" si="12"/>
        <v>0.47719019409991809</v>
      </c>
      <c r="L32" s="155">
        <f t="shared" si="12"/>
        <v>0.47690245199562764</v>
      </c>
      <c r="M32" s="156">
        <f t="shared" si="12"/>
        <v>0.47698025210384509</v>
      </c>
      <c r="N32" s="41"/>
      <c r="O32" s="41"/>
      <c r="P32" s="41"/>
      <c r="Q32" s="41"/>
      <c r="R32" s="41"/>
      <c r="S32" s="41"/>
      <c r="T32" s="41"/>
      <c r="U32" s="41"/>
      <c r="V32" s="41"/>
      <c r="W32" s="167"/>
    </row>
    <row r="33" spans="1:23" ht="38.25" x14ac:dyDescent="0.2">
      <c r="A33" s="72"/>
      <c r="B33" s="170"/>
      <c r="C33" s="172"/>
      <c r="D33" s="157">
        <v>17</v>
      </c>
      <c r="E33" s="158" t="s">
        <v>94</v>
      </c>
      <c r="F33" s="150">
        <f>(F13-F30)/F13</f>
        <v>0.49421509555555559</v>
      </c>
      <c r="G33" s="150">
        <f t="shared" ref="G33:M33" si="13">(G13-G30)/G13</f>
        <v>0.4800591666666667</v>
      </c>
      <c r="H33" s="150">
        <f t="shared" si="13"/>
        <v>0.53461870611111117</v>
      </c>
      <c r="I33" s="150">
        <f t="shared" si="13"/>
        <v>0.51991496064749998</v>
      </c>
      <c r="J33" s="150">
        <f t="shared" si="13"/>
        <v>0.52387761879994332</v>
      </c>
      <c r="K33" s="150">
        <f t="shared" si="13"/>
        <v>0.52280980590008186</v>
      </c>
      <c r="L33" s="150">
        <f t="shared" si="13"/>
        <v>0.52309754800437236</v>
      </c>
      <c r="M33" s="151">
        <f t="shared" si="13"/>
        <v>0.52301974789615491</v>
      </c>
      <c r="N33" s="41"/>
      <c r="O33" s="41"/>
      <c r="P33" s="41"/>
      <c r="Q33" s="41"/>
      <c r="R33" s="41"/>
      <c r="S33" s="41"/>
      <c r="T33" s="41"/>
      <c r="U33" s="41"/>
      <c r="V33" s="41"/>
      <c r="W33" s="167"/>
    </row>
    <row r="34" spans="1:23" ht="45" customHeight="1" x14ac:dyDescent="0.2">
      <c r="B34" s="165"/>
      <c r="C34" s="172"/>
      <c r="D34" s="149">
        <v>18</v>
      </c>
      <c r="E34" s="207" t="s">
        <v>87</v>
      </c>
      <c r="F34" s="159">
        <f>F30/F18</f>
        <v>0.7009764778892158</v>
      </c>
      <c r="G34" s="159">
        <f t="shared" ref="G34:M34" si="14">G30/G18</f>
        <v>0.72059543663351244</v>
      </c>
      <c r="H34" s="159">
        <f t="shared" si="14"/>
        <v>0.72843598826114198</v>
      </c>
      <c r="I34" s="159">
        <f t="shared" si="14"/>
        <v>0.72612988734749673</v>
      </c>
      <c r="J34" s="159">
        <f t="shared" si="14"/>
        <v>0.72673594510963091</v>
      </c>
      <c r="K34" s="159">
        <f t="shared" si="14"/>
        <v>0.72657133379699479</v>
      </c>
      <c r="L34" s="159">
        <f t="shared" si="14"/>
        <v>0.72661566765005459</v>
      </c>
      <c r="M34" s="160">
        <f t="shared" si="14"/>
        <v>0.72660410021520061</v>
      </c>
      <c r="N34" s="41"/>
      <c r="O34" s="41"/>
      <c r="P34" s="41"/>
      <c r="Q34" s="41"/>
      <c r="R34" s="41"/>
      <c r="S34" s="41"/>
      <c r="T34" s="43"/>
      <c r="U34" s="41"/>
      <c r="V34" s="41"/>
      <c r="W34" s="167"/>
    </row>
    <row r="35" spans="1:23" ht="39" thickBot="1" x14ac:dyDescent="0.25">
      <c r="B35" s="165"/>
      <c r="C35" s="41"/>
      <c r="D35" s="152">
        <v>19</v>
      </c>
      <c r="E35" s="208" t="s">
        <v>93</v>
      </c>
      <c r="F35" s="161">
        <f>(F18-F30)/F18</f>
        <v>0.29902352211078415</v>
      </c>
      <c r="G35" s="161">
        <f t="shared" ref="G35:M35" si="15">(G18-G30)/G18</f>
        <v>0.27940456336648756</v>
      </c>
      <c r="H35" s="161">
        <f t="shared" si="15"/>
        <v>0.27156401173885797</v>
      </c>
      <c r="I35" s="161">
        <f t="shared" si="15"/>
        <v>0.27387011265250333</v>
      </c>
      <c r="J35" s="161">
        <f t="shared" si="15"/>
        <v>0.27326405489036909</v>
      </c>
      <c r="K35" s="161">
        <f t="shared" si="15"/>
        <v>0.27342866620300527</v>
      </c>
      <c r="L35" s="161">
        <f t="shared" si="15"/>
        <v>0.27338433234994541</v>
      </c>
      <c r="M35" s="162">
        <f t="shared" si="15"/>
        <v>0.27339589978479939</v>
      </c>
      <c r="N35" s="41"/>
      <c r="O35" s="41"/>
      <c r="P35" s="41"/>
      <c r="Q35" s="41"/>
      <c r="R35" s="41"/>
      <c r="S35" s="41"/>
      <c r="T35" s="41"/>
      <c r="U35" s="41"/>
      <c r="V35" s="41"/>
      <c r="W35" s="167"/>
    </row>
    <row r="36" spans="1:23" ht="6.75" customHeight="1" thickBot="1" x14ac:dyDescent="0.25">
      <c r="B36" s="165"/>
      <c r="C36" s="41"/>
      <c r="D36" s="166"/>
      <c r="E36" s="84"/>
      <c r="F36" s="74"/>
      <c r="G36" s="74"/>
      <c r="H36" s="74"/>
      <c r="I36" s="74"/>
      <c r="J36" s="74"/>
      <c r="K36" s="74"/>
      <c r="L36" s="74"/>
      <c r="M36" s="74"/>
      <c r="N36" s="41"/>
      <c r="O36" s="41"/>
      <c r="P36" s="41"/>
      <c r="Q36" s="41"/>
      <c r="R36" s="41"/>
      <c r="S36" s="41"/>
      <c r="T36" s="41"/>
      <c r="U36" s="41"/>
      <c r="V36" s="41"/>
      <c r="W36" s="167"/>
    </row>
    <row r="37" spans="1:23" ht="39" thickBot="1" x14ac:dyDescent="0.25">
      <c r="B37" s="165"/>
      <c r="C37" s="41"/>
      <c r="D37" s="139"/>
      <c r="E37" s="140" t="s">
        <v>88</v>
      </c>
      <c r="F37" s="141"/>
      <c r="G37" s="163">
        <f>G30-$F$30</f>
        <v>509.61344000000099</v>
      </c>
      <c r="H37" s="163">
        <f>H30-$F$30</f>
        <v>-1454.5299799999993</v>
      </c>
      <c r="I37" s="163">
        <f>I30-$F$30</f>
        <v>-925.19514330999664</v>
      </c>
      <c r="J37" s="163">
        <f t="shared" ref="J37:M37" si="16">J30-$F$30</f>
        <v>-1067.8508367979557</v>
      </c>
      <c r="K37" s="163">
        <f t="shared" si="16"/>
        <v>-1029.4095724029467</v>
      </c>
      <c r="L37" s="163">
        <f t="shared" si="16"/>
        <v>-1039.7682881574037</v>
      </c>
      <c r="M37" s="164">
        <f t="shared" si="16"/>
        <v>-1036.967484261575</v>
      </c>
      <c r="N37" s="41"/>
      <c r="O37" s="43"/>
      <c r="P37" s="41"/>
      <c r="Q37" s="41"/>
      <c r="R37" s="41"/>
      <c r="S37" s="41"/>
      <c r="T37" s="41"/>
      <c r="U37" s="41"/>
      <c r="V37" s="41"/>
      <c r="W37" s="167"/>
    </row>
    <row r="38" spans="1:23" ht="5.25" customHeight="1" thickBot="1" x14ac:dyDescent="0.25">
      <c r="B38" s="175"/>
      <c r="C38" s="176"/>
      <c r="D38" s="177"/>
      <c r="E38" s="178"/>
      <c r="F38" s="176"/>
      <c r="G38" s="176"/>
      <c r="H38" s="176"/>
      <c r="I38" s="176"/>
      <c r="J38" s="176"/>
      <c r="K38" s="176"/>
      <c r="L38" s="176"/>
      <c r="M38" s="176"/>
      <c r="N38" s="176"/>
      <c r="O38" s="176"/>
      <c r="P38" s="176"/>
      <c r="Q38" s="176"/>
      <c r="R38" s="176"/>
      <c r="S38" s="176"/>
      <c r="T38" s="176"/>
      <c r="U38" s="176"/>
      <c r="V38" s="176"/>
      <c r="W38" s="179"/>
    </row>
    <row r="39" spans="1:23" ht="13.5" thickTop="1" x14ac:dyDescent="0.2"/>
    <row r="64" spans="5:11" x14ac:dyDescent="0.2">
      <c r="E64" s="83"/>
      <c r="F64" s="73"/>
      <c r="G64" s="73"/>
      <c r="H64" s="73"/>
      <c r="I64" s="73"/>
      <c r="J64" s="73"/>
      <c r="K64" s="73"/>
    </row>
  </sheetData>
  <mergeCells count="19">
    <mergeCell ref="S28:V28"/>
    <mergeCell ref="T29:V29"/>
    <mergeCell ref="U30:V30"/>
    <mergeCell ref="B1:W2"/>
    <mergeCell ref="O22:V23"/>
    <mergeCell ref="Q26:V26"/>
    <mergeCell ref="R27:V27"/>
    <mergeCell ref="E3:J3"/>
    <mergeCell ref="K3:L3"/>
    <mergeCell ref="K4:L4"/>
    <mergeCell ref="E4:J4"/>
    <mergeCell ref="K5:L5"/>
    <mergeCell ref="K7:L7"/>
    <mergeCell ref="K8:L8"/>
    <mergeCell ref="E5:J5"/>
    <mergeCell ref="E6:J6"/>
    <mergeCell ref="E7:J7"/>
    <mergeCell ref="E8:J8"/>
    <mergeCell ref="K6:L6"/>
  </mergeCells>
  <conditionalFormatting sqref="G37:M37">
    <cfRule type="cellIs" dxfId="1" priority="1" operator="greaterThan">
      <formula>0</formula>
    </cfRule>
    <cfRule type="cellIs" dxfId="0" priority="2" operator="lessThan">
      <formula>0</formula>
    </cfRule>
  </conditionalFormatting>
  <printOptions horizontalCentered="1"/>
  <pageMargins left="0.11811023622047245" right="0.19685039370078741" top="0.15748031496062992" bottom="0.19685039370078741" header="0.31496062992125984" footer="0.31496062992125984"/>
  <pageSetup paperSize="9" scale="66" orientation="landscape" r:id="rId1"/>
  <colBreaks count="1" manualBreakCount="1">
    <brk id="23"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'Παλαιές ασφ.εισφ ΟΑΕΕ'!$G$26:$G$39</xm:f>
          </x14:formula1>
          <xm:sqref>K5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6</vt:i4>
      </vt:variant>
      <vt:variant>
        <vt:lpstr>Περιοχές με ονόματα</vt:lpstr>
      </vt:variant>
      <vt:variant>
        <vt:i4>1</vt:i4>
      </vt:variant>
    </vt:vector>
  </HeadingPairs>
  <TitlesOfParts>
    <vt:vector size="7" baseType="lpstr">
      <vt:lpstr>Παλαιές ασφ.εισφ ΟΑΕΕ</vt:lpstr>
      <vt:lpstr>Νεες κλιμακες φόρου</vt:lpstr>
      <vt:lpstr>Εισφορ.Αλληλεγγύης</vt:lpstr>
      <vt:lpstr>4172_el</vt:lpstr>
      <vt:lpstr>Υπολογισμοί</vt:lpstr>
      <vt:lpstr>Macro1</vt:lpstr>
      <vt:lpstr>Υπολογισμοί!Print_Area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dc:creator>
  <cp:lastModifiedBy>Nicolas Karadimitris</cp:lastModifiedBy>
  <cp:lastPrinted>2016-05-13T20:20:18Z</cp:lastPrinted>
  <dcterms:created xsi:type="dcterms:W3CDTF">2016-04-12T22:47:42Z</dcterms:created>
  <dcterms:modified xsi:type="dcterms:W3CDTF">2016-05-13T20:22:53Z</dcterms:modified>
</cp:coreProperties>
</file>